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0" activeTab="0"/>
  </bookViews>
  <sheets>
    <sheet name="2008 г." sheetId="1" r:id="rId1"/>
    <sheet name="I полугодие 2009" sheetId="2" r:id="rId2"/>
    <sheet name="III кв. 2009 г." sheetId="3" r:id="rId3"/>
    <sheet name="I,II,III кв. 2009 г.в ГК" sheetId="4" r:id="rId4"/>
    <sheet name="I,II,III кв. 2009 г." sheetId="5" r:id="rId5"/>
    <sheet name="IV кв. 2009 г." sheetId="6" r:id="rId6"/>
    <sheet name="2009 г." sheetId="7" r:id="rId7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C8" authorId="0">
      <text>
        <r>
          <rPr>
            <sz val="11"/>
            <color indexed="8"/>
            <rFont val="Calibri"/>
            <family val="2"/>
          </rPr>
          <t>Сумму по договорам      см. G9</t>
        </r>
      </text>
    </comment>
    <comment ref="D8" authorId="0">
      <text>
        <r>
          <rPr>
            <sz val="11"/>
            <color indexed="8"/>
            <rFont val="Calibri"/>
            <family val="2"/>
          </rPr>
          <t>Сумму по договорам см. H9</t>
        </r>
      </text>
    </comment>
    <comment ref="E8" authorId="0">
      <text>
        <r>
          <rPr>
            <sz val="11"/>
            <color indexed="8"/>
            <rFont val="Calibri"/>
            <family val="2"/>
          </rPr>
          <t>Сумму по договорам    см. I9</t>
        </r>
      </text>
    </comment>
    <comment ref="F8" authorId="0">
      <text>
        <r>
          <rPr>
            <sz val="11"/>
            <color indexed="8"/>
            <rFont val="Calibri"/>
            <family val="2"/>
          </rPr>
          <t>Сумму по договорам см. J9</t>
        </r>
      </text>
    </comment>
    <comment ref="C10" authorId="0">
      <text>
        <r>
          <rPr>
            <sz val="11"/>
            <color indexed="8"/>
            <rFont val="Calibri"/>
            <family val="2"/>
          </rPr>
          <t>Сумма по договорам см.G11</t>
        </r>
      </text>
    </comment>
    <comment ref="D10" authorId="0">
      <text>
        <r>
          <rPr>
            <sz val="11"/>
            <color indexed="8"/>
            <rFont val="Calibri"/>
            <family val="2"/>
          </rPr>
          <t>Сумму по договорам см. H11</t>
        </r>
      </text>
    </comment>
    <comment ref="E10" authorId="0">
      <text>
        <r>
          <rPr>
            <sz val="11"/>
            <color indexed="8"/>
            <rFont val="Calibri"/>
            <family val="2"/>
          </rPr>
          <t>Сумму по договорам  см. I11</t>
        </r>
      </text>
    </comment>
    <comment ref="F10" authorId="0">
      <text>
        <r>
          <rPr>
            <sz val="11"/>
            <color indexed="8"/>
            <rFont val="Calibri"/>
            <family val="2"/>
          </rPr>
          <t>Сумму по договору см. J11</t>
        </r>
      </text>
    </comment>
    <comment ref="C11" authorId="0">
      <text>
        <r>
          <rPr>
            <sz val="11"/>
            <color indexed="8"/>
            <rFont val="Calibri"/>
            <family val="2"/>
          </rPr>
          <t>Сумму по договорам см. G12</t>
        </r>
      </text>
    </comment>
    <comment ref="D11" authorId="0">
      <text>
        <r>
          <rPr>
            <sz val="11"/>
            <color indexed="8"/>
            <rFont val="Calibri"/>
            <family val="2"/>
          </rPr>
          <t>Сумму по договорам см. H12</t>
        </r>
      </text>
    </comment>
    <comment ref="E11" authorId="0">
      <text>
        <r>
          <rPr>
            <sz val="11"/>
            <color indexed="8"/>
            <rFont val="Calibri"/>
            <family val="2"/>
          </rPr>
          <t xml:space="preserve">Сумму по договорам см. I12 </t>
        </r>
      </text>
    </comment>
  </commentList>
</comments>
</file>

<file path=xl/sharedStrings.xml><?xml version="1.0" encoding="utf-8"?>
<sst xmlns="http://schemas.openxmlformats.org/spreadsheetml/2006/main" count="181" uniqueCount="67">
  <si>
    <t>Отчет по технологическому присоединению МП АЭС за 2008 г.</t>
  </si>
  <si>
    <t>Физические лица до 15 кВт включительно</t>
  </si>
  <si>
    <t>Прочие</t>
  </si>
  <si>
    <t>Всего</t>
  </si>
  <si>
    <t>до 15 кВт включительно</t>
  </si>
  <si>
    <t>более 15 кВт</t>
  </si>
  <si>
    <t>Количество поданных заявок, шт.</t>
  </si>
  <si>
    <t>Заявленная мощность, кВт</t>
  </si>
  <si>
    <t>Количество отказов, шт.</t>
  </si>
  <si>
    <t>Мощность, в присоединении которой отказано, кВт</t>
  </si>
  <si>
    <t>Заявки в работе, шт.</t>
  </si>
  <si>
    <t>Мощность в работе, кВт</t>
  </si>
  <si>
    <t>Исполненные заявки, шт.</t>
  </si>
  <si>
    <t>Фактически присоединенная мощность, кВт</t>
  </si>
  <si>
    <t>Фактическая выручка по установленному  тарифу, тыс. руб. (без НДС)</t>
  </si>
  <si>
    <t>Фактические затраты, тыс. руб., в т.ч.:</t>
  </si>
  <si>
    <t>1)Подготовка, выдача технических условий и      их согласование с системным оператором (в т.ч. плата за техприсоедиение в филиал ОАО "МРСК-Сибири" - "Хакасэнерго")</t>
  </si>
  <si>
    <t>2)Капитальные вложения, в т.ч. выполнение фактических действий по тех.присоедиению и обеспечению работы энергопринимающего устройства</t>
  </si>
  <si>
    <t>Отчет по технологическому присоединению МП АЭС за первое полугодие 2009 г.</t>
  </si>
  <si>
    <t>более 15 кВт до 100 кВт включительно</t>
  </si>
  <si>
    <t>Более 100 кВт</t>
  </si>
  <si>
    <t>Заключено договоров, шт</t>
  </si>
  <si>
    <t>Мощность по заключенным договорам, кВт</t>
  </si>
  <si>
    <t>Исполненные договоры, шт</t>
  </si>
  <si>
    <t>Фактически присоединенная мощность по исполненным договорам, кВт</t>
  </si>
  <si>
    <t>Фактическая выручка, тыс. руб.</t>
  </si>
  <si>
    <t>Фактические затраты по исполненным договорам с учетом капитальных вложений, тыс. руб., в т. ч.</t>
  </si>
  <si>
    <t>Подготовка, выдача технических условий и их согласование с системным оператором, в т.ч. плата за тех. присоединение в филиал ОАО "МРСК-Сибири" — "Хакасэнерго", (строка 5 * 5,237 тыс.руб.)</t>
  </si>
  <si>
    <t>Проверка выполнения технических условий, (строка 7 * 5,147 тыс.руб.)</t>
  </si>
  <si>
    <t>Фактические действия по присоединению и обеспечению работы предпринимающего устройства в электрической сети,                           (строка 7 * 6,191 тыс.руб.)</t>
  </si>
  <si>
    <t>Фактические затраты по исполненным договорам без капитальных вложений, тыс. руб.</t>
  </si>
  <si>
    <t>Капитальные вложения, тыс.руб.</t>
  </si>
  <si>
    <t>Директор МП АЭС</t>
  </si>
  <si>
    <t>В.В.Марков</t>
  </si>
  <si>
    <t>Зам.директора по финансам</t>
  </si>
  <si>
    <t xml:space="preserve"> - главный бухгалтер МП АЭС</t>
  </si>
  <si>
    <t>О.В.Гапон</t>
  </si>
  <si>
    <t>Отчет по технологическому присоединению МП АЭС за III квартал 2009 г.</t>
  </si>
  <si>
    <t>Более    100 кВт</t>
  </si>
  <si>
    <t>Исполненные договоры, шт.</t>
  </si>
  <si>
    <t>в т.ч. договоры за  I полугодие 2009 г.</t>
  </si>
  <si>
    <t>в т.ч. мощность по договорам за  I полугодие 2009 г.</t>
  </si>
  <si>
    <t>Фактическая выручка, тыс. руб. (с НДС)</t>
  </si>
  <si>
    <t>Фактические затраты по исполненным договорам (строка 16 + строка 17), тыс. руб. (с НДС), в т. ч.</t>
  </si>
  <si>
    <t>Подготовка, выдача технических условий и их согласование с системным оператором, в т.ч. плата за тех. присоединение в филиал ОАО "МРСК-Сибири" — "Хакасэнерго", (строка 5 * 6,179 тыс.руб.)</t>
  </si>
  <si>
    <t>Проверка выполнения технических условий, (строка 7 * 6,07 тыс.руб.)</t>
  </si>
  <si>
    <t>Фактические действия по присоединению и обеспечению работы энергопринимающего устройства в электрической сети,                        (строка 7 * 7,31 тыс.руб)</t>
  </si>
  <si>
    <t>Капитальные вложения, тыс.руб. (с НДС)</t>
  </si>
  <si>
    <t>Директор  МП АЭС</t>
  </si>
  <si>
    <t>Отчет по технологическому присоединению МП АЭС за I, II, III квартал 2009 г.</t>
  </si>
  <si>
    <t>Фактические затраты по исполненным договорам, тыс. руб., в т. ч.</t>
  </si>
  <si>
    <t>Подготовка, выдача технических условий и их согласование с системным оператором (в т.ч. плата за тех. присоединение в филиал ОАО "МРСК-Сибири" — "Хакасэнерго")</t>
  </si>
  <si>
    <t>Проверка выполнения технических условий</t>
  </si>
  <si>
    <t>Участие сетевой организации в осмотре (обследовании) присоединяемых устройств должностным лицом федерального органа исполнительной власти по технологическому надзору при участии собственника таких устройств</t>
  </si>
  <si>
    <t>Фактические действия по присоединению и обеспечению работы энергопринимающего устройства в электрической сети</t>
  </si>
  <si>
    <t>Отчет по технологическому присоединению МП АЭС за IV квартал 2009 г.</t>
  </si>
  <si>
    <t>Более     100 кВт</t>
  </si>
  <si>
    <t>в т.ч. договоры за  I, II, III квартал 2009 г.</t>
  </si>
  <si>
    <t>в т.ч. мощность по договорам за  I, II, III квартал 2009 г.</t>
  </si>
  <si>
    <t>Фактические затраты по исполненным договорам без капитальных вложений (строка 11 + строка 12 + строка 13), тыс. руб.</t>
  </si>
  <si>
    <t>Зам.директора по финансам - главный бухгалтер МП АЭС</t>
  </si>
  <si>
    <t>Начальник ПТО МП АЭС</t>
  </si>
  <si>
    <t>А.А.Ханин</t>
  </si>
  <si>
    <t>Отчет по технологическому присоединению МП АЭС за 2009 г.</t>
  </si>
  <si>
    <t>Более   100 кВт</t>
  </si>
  <si>
    <t>Фактические затраты по исполненным договорам (строка 14 + строка 15), тыс. руб. (с НДС), в т. ч.</t>
  </si>
  <si>
    <t>Проверка выполнения технических условий, (строка 7 * 6,073 тыс.руб.)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</si>
</sst>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1">
      <alignment/>
      <protection/>
    </xf>
    <xf numFmtId="0" fontId="24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25" borderId="11" xfId="52" applyFont="1" applyFill="1" applyBorder="1" applyAlignment="1">
      <alignment horizontal="justify" vertical="top"/>
      <protection/>
    </xf>
    <xf numFmtId="0" fontId="20" fillId="25" borderId="11" xfId="52" applyFont="1" applyFill="1" applyBorder="1" applyAlignment="1">
      <alignment horizontal="center"/>
      <protection/>
    </xf>
    <xf numFmtId="0" fontId="20" fillId="25" borderId="11" xfId="0" applyFont="1" applyFill="1" applyBorder="1" applyAlignment="1">
      <alignment horizontal="center"/>
    </xf>
    <xf numFmtId="0" fontId="25" fillId="25" borderId="11" xfId="52" applyFont="1" applyFill="1" applyBorder="1" applyAlignment="1">
      <alignment horizontal="center"/>
      <protection/>
    </xf>
    <xf numFmtId="0" fontId="20" fillId="6" borderId="11" xfId="52" applyFont="1" applyFill="1" applyBorder="1" applyAlignment="1">
      <alignment horizontal="justify" vertical="top"/>
      <protection/>
    </xf>
    <xf numFmtId="0" fontId="20" fillId="6" borderId="11" xfId="52" applyFont="1" applyFill="1" applyBorder="1" applyAlignment="1">
      <alignment horizontal="center"/>
      <protection/>
    </xf>
    <xf numFmtId="0" fontId="25" fillId="6" borderId="11" xfId="52" applyFont="1" applyFill="1" applyBorder="1" applyAlignment="1">
      <alignment horizontal="center"/>
      <protection/>
    </xf>
    <xf numFmtId="0" fontId="20" fillId="6" borderId="11" xfId="52" applyFont="1" applyFill="1" applyBorder="1" applyAlignment="1">
      <alignment horizontal="justify" vertical="top" wrapText="1"/>
      <protection/>
    </xf>
    <xf numFmtId="0" fontId="20" fillId="26" borderId="11" xfId="52" applyFont="1" applyFill="1" applyBorder="1" applyAlignment="1">
      <alignment horizontal="justify" vertical="top" wrapText="1"/>
      <protection/>
    </xf>
    <xf numFmtId="0" fontId="20" fillId="26" borderId="11" xfId="52" applyFont="1" applyFill="1" applyBorder="1" applyAlignment="1">
      <alignment horizontal="center"/>
      <protection/>
    </xf>
    <xf numFmtId="0" fontId="25" fillId="26" borderId="11" xfId="52" applyFont="1" applyFill="1" applyBorder="1" applyAlignment="1">
      <alignment horizontal="center"/>
      <protection/>
    </xf>
    <xf numFmtId="0" fontId="20" fillId="26" borderId="11" xfId="52" applyFont="1" applyFill="1" applyBorder="1" applyAlignment="1">
      <alignment horizontal="justify" vertical="top"/>
      <protection/>
    </xf>
    <xf numFmtId="0" fontId="20" fillId="2" borderId="11" xfId="52" applyFont="1" applyFill="1" applyBorder="1" applyAlignment="1">
      <alignment horizontal="justify" vertical="top"/>
      <protection/>
    </xf>
    <xf numFmtId="0" fontId="20" fillId="2" borderId="11" xfId="52" applyFont="1" applyFill="1" applyBorder="1" applyAlignment="1">
      <alignment horizontal="center"/>
      <protection/>
    </xf>
    <xf numFmtId="0" fontId="25" fillId="2" borderId="11" xfId="52" applyFont="1" applyFill="1" applyBorder="1" applyAlignment="1">
      <alignment horizontal="center"/>
      <protection/>
    </xf>
    <xf numFmtId="0" fontId="20" fillId="27" borderId="11" xfId="52" applyFont="1" applyFill="1" applyBorder="1" applyAlignment="1">
      <alignment horizontal="justify" vertical="top"/>
      <protection/>
    </xf>
    <xf numFmtId="0" fontId="21" fillId="27" borderId="11" xfId="52" applyFont="1" applyFill="1" applyBorder="1" applyAlignment="1">
      <alignment horizontal="center" vertical="center"/>
      <protection/>
    </xf>
    <xf numFmtId="0" fontId="20" fillId="27" borderId="11" xfId="52" applyFont="1" applyFill="1" applyBorder="1" applyAlignment="1">
      <alignment horizontal="center" vertical="center"/>
      <protection/>
    </xf>
    <xf numFmtId="0" fontId="25" fillId="27" borderId="11" xfId="52" applyFont="1" applyFill="1" applyBorder="1" applyAlignment="1">
      <alignment horizontal="center" vertical="center"/>
      <protection/>
    </xf>
    <xf numFmtId="0" fontId="20" fillId="28" borderId="11" xfId="52" applyFont="1" applyFill="1" applyBorder="1" applyAlignment="1">
      <alignment horizontal="justify" vertical="top"/>
      <protection/>
    </xf>
    <xf numFmtId="0" fontId="20" fillId="28" borderId="11" xfId="52" applyFont="1" applyFill="1" applyBorder="1" applyAlignment="1">
      <alignment horizontal="center" vertical="center"/>
      <protection/>
    </xf>
    <xf numFmtId="0" fontId="25" fillId="28" borderId="11" xfId="52" applyFont="1" applyFill="1" applyBorder="1" applyAlignment="1">
      <alignment horizontal="center" vertical="center"/>
      <protection/>
    </xf>
    <xf numFmtId="0" fontId="20" fillId="29" borderId="11" xfId="52" applyFont="1" applyFill="1" applyBorder="1" applyAlignment="1">
      <alignment horizontal="justify" vertical="top"/>
      <protection/>
    </xf>
    <xf numFmtId="0" fontId="20" fillId="29" borderId="11" xfId="52" applyFont="1" applyFill="1" applyBorder="1" applyAlignment="1">
      <alignment horizontal="center" vertical="center"/>
      <protection/>
    </xf>
    <xf numFmtId="2" fontId="25" fillId="29" borderId="11" xfId="52" applyNumberFormat="1" applyFont="1" applyFill="1" applyBorder="1" applyAlignment="1">
      <alignment horizontal="center" vertical="center"/>
      <protection/>
    </xf>
    <xf numFmtId="0" fontId="20" fillId="6" borderId="11" xfId="52" applyFont="1" applyFill="1" applyBorder="1" applyAlignment="1">
      <alignment horizontal="center" vertical="center"/>
      <protection/>
    </xf>
    <xf numFmtId="0" fontId="20" fillId="6" borderId="11" xfId="0" applyFont="1" applyFill="1" applyBorder="1" applyAlignment="1">
      <alignment horizontal="center" vertical="center"/>
    </xf>
    <xf numFmtId="2" fontId="20" fillId="6" borderId="11" xfId="0" applyNumberFormat="1" applyFont="1" applyFill="1" applyBorder="1" applyAlignment="1">
      <alignment horizontal="center" vertical="center"/>
    </xf>
    <xf numFmtId="2" fontId="25" fillId="6" borderId="11" xfId="52" applyNumberFormat="1" applyFont="1" applyFill="1" applyBorder="1" applyAlignment="1">
      <alignment horizontal="center" vertical="center"/>
      <protection/>
    </xf>
    <xf numFmtId="0" fontId="20" fillId="6" borderId="11" xfId="51" applyFont="1" applyFill="1" applyBorder="1" applyAlignment="1">
      <alignment horizontal="justify" vertical="top" wrapText="1"/>
      <protection/>
    </xf>
    <xf numFmtId="0" fontId="20" fillId="6" borderId="11" xfId="51" applyFont="1" applyFill="1" applyBorder="1" applyAlignment="1">
      <alignment horizontal="center" vertical="center"/>
      <protection/>
    </xf>
    <xf numFmtId="0" fontId="25" fillId="6" borderId="11" xfId="51" applyFont="1" applyFill="1" applyBorder="1" applyAlignment="1">
      <alignment horizontal="center" vertical="center"/>
      <protection/>
    </xf>
    <xf numFmtId="0" fontId="20" fillId="6" borderId="11" xfId="52" applyFont="1" applyFill="1" applyBorder="1" applyAlignment="1">
      <alignment vertical="top" wrapText="1"/>
      <protection/>
    </xf>
    <xf numFmtId="0" fontId="0" fillId="2" borderId="0" xfId="51" applyFill="1">
      <alignment/>
      <protection/>
    </xf>
    <xf numFmtId="0" fontId="20" fillId="2" borderId="11" xfId="52" applyFont="1" applyFill="1" applyBorder="1" applyAlignment="1">
      <alignment horizontal="center" vertical="center"/>
      <protection/>
    </xf>
    <xf numFmtId="0" fontId="20" fillId="2" borderId="1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2" fontId="25" fillId="2" borderId="11" xfId="52" applyNumberFormat="1" applyFont="1" applyFill="1" applyBorder="1" applyAlignment="1">
      <alignment horizontal="center" vertical="center"/>
      <protection/>
    </xf>
    <xf numFmtId="0" fontId="0" fillId="0" borderId="0" xfId="51" applyFill="1">
      <alignment/>
      <protection/>
    </xf>
    <xf numFmtId="0" fontId="0" fillId="22" borderId="0" xfId="51" applyFill="1">
      <alignment/>
      <protection/>
    </xf>
    <xf numFmtId="0" fontId="20" fillId="22" borderId="11" xfId="52" applyFont="1" applyFill="1" applyBorder="1" applyAlignment="1">
      <alignment horizontal="justify" vertical="top" wrapText="1"/>
      <protection/>
    </xf>
    <xf numFmtId="0" fontId="20" fillId="22" borderId="11" xfId="52" applyFont="1" applyFill="1" applyBorder="1" applyAlignment="1">
      <alignment horizontal="center" vertical="center"/>
      <protection/>
    </xf>
    <xf numFmtId="2" fontId="25" fillId="22" borderId="11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left" wrapText="1"/>
      <protection/>
    </xf>
    <xf numFmtId="0" fontId="20" fillId="0" borderId="0" xfId="52" applyFont="1" applyAlignment="1">
      <alignment horizontal="left" wrapText="1"/>
      <protection/>
    </xf>
    <xf numFmtId="0" fontId="24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0" fillId="25" borderId="11" xfId="51" applyFont="1" applyFill="1" applyBorder="1" applyAlignment="1">
      <alignment horizontal="center"/>
      <protection/>
    </xf>
    <xf numFmtId="0" fontId="20" fillId="25" borderId="11" xfId="51" applyFont="1" applyFill="1" applyBorder="1" applyAlignment="1">
      <alignment horizontal="justify" vertical="top"/>
      <protection/>
    </xf>
    <xf numFmtId="0" fontId="25" fillId="25" borderId="11" xfId="51" applyFont="1" applyFill="1" applyBorder="1" applyAlignment="1">
      <alignment horizontal="center"/>
      <protection/>
    </xf>
    <xf numFmtId="0" fontId="20" fillId="6" borderId="11" xfId="51" applyFont="1" applyFill="1" applyBorder="1" applyAlignment="1">
      <alignment horizontal="center"/>
      <protection/>
    </xf>
    <xf numFmtId="0" fontId="20" fillId="6" borderId="11" xfId="51" applyFont="1" applyFill="1" applyBorder="1" applyAlignment="1">
      <alignment horizontal="justify" vertical="top"/>
      <protection/>
    </xf>
    <xf numFmtId="0" fontId="21" fillId="6" borderId="11" xfId="51" applyFont="1" applyFill="1" applyBorder="1" applyAlignment="1">
      <alignment horizontal="center"/>
      <protection/>
    </xf>
    <xf numFmtId="0" fontId="26" fillId="6" borderId="11" xfId="51" applyFont="1" applyFill="1" applyBorder="1" applyAlignment="1">
      <alignment horizontal="center"/>
      <protection/>
    </xf>
    <xf numFmtId="0" fontId="21" fillId="30" borderId="11" xfId="51" applyFont="1" applyFill="1" applyBorder="1" applyAlignment="1">
      <alignment horizontal="center"/>
      <protection/>
    </xf>
    <xf numFmtId="0" fontId="20" fillId="30" borderId="11" xfId="51" applyFont="1" applyFill="1" applyBorder="1" applyAlignment="1">
      <alignment horizontal="justify" vertical="top" wrapText="1"/>
      <protection/>
    </xf>
    <xf numFmtId="0" fontId="20" fillId="30" borderId="11" xfId="51" applyFont="1" applyFill="1" applyBorder="1" applyAlignment="1">
      <alignment horizontal="center"/>
      <protection/>
    </xf>
    <xf numFmtId="0" fontId="25" fillId="30" borderId="11" xfId="51" applyFont="1" applyFill="1" applyBorder="1" applyAlignment="1">
      <alignment horizontal="center"/>
      <protection/>
    </xf>
    <xf numFmtId="0" fontId="20" fillId="30" borderId="11" xfId="51" applyFont="1" applyFill="1" applyBorder="1" applyAlignment="1">
      <alignment horizontal="justify" vertical="top"/>
      <protection/>
    </xf>
    <xf numFmtId="0" fontId="20" fillId="2" borderId="11" xfId="51" applyFont="1" applyFill="1" applyBorder="1" applyAlignment="1">
      <alignment horizontal="center"/>
      <protection/>
    </xf>
    <xf numFmtId="0" fontId="20" fillId="2" borderId="11" xfId="51" applyFont="1" applyFill="1" applyBorder="1" applyAlignment="1">
      <alignment horizontal="justify" vertical="top"/>
      <protection/>
    </xf>
    <xf numFmtId="0" fontId="21" fillId="2" borderId="11" xfId="51" applyFont="1" applyFill="1" applyBorder="1" applyAlignment="1">
      <alignment horizontal="center"/>
      <protection/>
    </xf>
    <xf numFmtId="0" fontId="26" fillId="2" borderId="11" xfId="51" applyFont="1" applyFill="1" applyBorder="1" applyAlignment="1">
      <alignment horizontal="center"/>
      <protection/>
    </xf>
    <xf numFmtId="0" fontId="20" fillId="27" borderId="11" xfId="51" applyFont="1" applyFill="1" applyBorder="1" applyAlignment="1">
      <alignment horizontal="center"/>
      <protection/>
    </xf>
    <xf numFmtId="0" fontId="20" fillId="27" borderId="11" xfId="51" applyFont="1" applyFill="1" applyBorder="1" applyAlignment="1">
      <alignment horizontal="justify" vertical="top"/>
      <protection/>
    </xf>
    <xf numFmtId="0" fontId="21" fillId="27" borderId="11" xfId="51" applyFont="1" applyFill="1" applyBorder="1" applyAlignment="1">
      <alignment horizontal="center" vertical="center"/>
      <protection/>
    </xf>
    <xf numFmtId="0" fontId="26" fillId="27" borderId="11" xfId="51" applyFont="1" applyFill="1" applyBorder="1" applyAlignment="1">
      <alignment horizontal="center" vertical="center"/>
      <protection/>
    </xf>
    <xf numFmtId="0" fontId="20" fillId="28" borderId="11" xfId="51" applyFont="1" applyFill="1" applyBorder="1" applyAlignment="1">
      <alignment horizontal="center"/>
      <protection/>
    </xf>
    <xf numFmtId="0" fontId="20" fillId="28" borderId="11" xfId="51" applyFont="1" applyFill="1" applyBorder="1" applyAlignment="1">
      <alignment horizontal="justify" vertical="top"/>
      <protection/>
    </xf>
    <xf numFmtId="0" fontId="20" fillId="28" borderId="11" xfId="51" applyFont="1" applyFill="1" applyBorder="1" applyAlignment="1">
      <alignment horizontal="center" vertical="center"/>
      <protection/>
    </xf>
    <xf numFmtId="0" fontId="25" fillId="28" borderId="11" xfId="51" applyFont="1" applyFill="1" applyBorder="1" applyAlignment="1">
      <alignment horizontal="center" vertical="center"/>
      <protection/>
    </xf>
    <xf numFmtId="0" fontId="20" fillId="29" borderId="11" xfId="51" applyFont="1" applyFill="1" applyBorder="1" applyAlignment="1">
      <alignment horizontal="center"/>
      <protection/>
    </xf>
    <xf numFmtId="0" fontId="20" fillId="29" borderId="11" xfId="51" applyFont="1" applyFill="1" applyBorder="1" applyAlignment="1">
      <alignment horizontal="justify" vertical="top"/>
      <protection/>
    </xf>
    <xf numFmtId="0" fontId="20" fillId="29" borderId="11" xfId="51" applyFont="1" applyFill="1" applyBorder="1" applyAlignment="1">
      <alignment horizontal="center" vertical="center"/>
      <protection/>
    </xf>
    <xf numFmtId="0" fontId="25" fillId="29" borderId="11" xfId="51" applyFont="1" applyFill="1" applyBorder="1" applyAlignment="1">
      <alignment horizontal="center" vertical="center"/>
      <protection/>
    </xf>
    <xf numFmtId="0" fontId="20" fillId="6" borderId="11" xfId="51" applyFont="1" applyFill="1" applyBorder="1" applyAlignment="1">
      <alignment horizontal="justify" vertical="top" wrapText="1" indent="4"/>
      <protection/>
    </xf>
    <xf numFmtId="0" fontId="20" fillId="22" borderId="11" xfId="51" applyFont="1" applyFill="1" applyBorder="1" applyAlignment="1">
      <alignment horizontal="center"/>
      <protection/>
    </xf>
    <xf numFmtId="0" fontId="20" fillId="22" borderId="11" xfId="51" applyFont="1" applyFill="1" applyBorder="1" applyAlignment="1">
      <alignment horizontal="justify" vertical="top" wrapText="1"/>
      <protection/>
    </xf>
    <xf numFmtId="0" fontId="20" fillId="22" borderId="11" xfId="51" applyFont="1" applyFill="1" applyBorder="1" applyAlignment="1">
      <alignment horizontal="center" vertical="center"/>
      <protection/>
    </xf>
    <xf numFmtId="0" fontId="25" fillId="22" borderId="11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left" wrapText="1"/>
      <protection/>
    </xf>
    <xf numFmtId="0" fontId="20" fillId="0" borderId="0" xfId="51" applyFont="1" applyAlignment="1">
      <alignment horizontal="left" wrapText="1"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51" applyBorder="1">
      <alignment/>
      <protection/>
    </xf>
    <xf numFmtId="0" fontId="20" fillId="0" borderId="0" xfId="51" applyFont="1" applyBorder="1" applyAlignment="1">
      <alignment horizontal="center"/>
      <protection/>
    </xf>
    <xf numFmtId="0" fontId="26" fillId="6" borderId="11" xfId="0" applyFont="1" applyFill="1" applyBorder="1" applyAlignment="1">
      <alignment horizontal="center"/>
    </xf>
    <xf numFmtId="0" fontId="26" fillId="30" borderId="11" xfId="51" applyFont="1" applyFill="1" applyBorder="1" applyAlignment="1">
      <alignment horizontal="center"/>
      <protection/>
    </xf>
    <xf numFmtId="0" fontId="26" fillId="30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0" fillId="31" borderId="11" xfId="51" applyFont="1" applyFill="1" applyBorder="1" applyAlignment="1">
      <alignment horizontal="justify" vertical="top" wrapText="1"/>
      <protection/>
    </xf>
    <xf numFmtId="0" fontId="25" fillId="31" borderId="11" xfId="51" applyFont="1" applyFill="1" applyBorder="1" applyAlignment="1">
      <alignment horizontal="center" vertical="center"/>
      <protection/>
    </xf>
    <xf numFmtId="0" fontId="25" fillId="31" borderId="1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/>
    </xf>
    <xf numFmtId="0" fontId="20" fillId="0" borderId="11" xfId="52" applyFont="1" applyBorder="1" applyAlignment="1">
      <alignment horizontal="justify" vertical="top"/>
      <protection/>
    </xf>
    <xf numFmtId="0" fontId="23" fillId="0" borderId="0" xfId="0" applyFont="1" applyAlignment="1">
      <alignment horizontal="center"/>
    </xf>
    <xf numFmtId="0" fontId="21" fillId="6" borderId="11" xfId="0" applyFont="1" applyFill="1" applyBorder="1" applyAlignment="1">
      <alignment horizontal="center"/>
    </xf>
    <xf numFmtId="0" fontId="21" fillId="30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7" borderId="11" xfId="0" applyFont="1" applyFill="1" applyBorder="1" applyAlignment="1">
      <alignment horizontal="center" vertical="center"/>
    </xf>
    <xf numFmtId="0" fontId="20" fillId="32" borderId="11" xfId="51" applyFont="1" applyFill="1" applyBorder="1" applyAlignment="1">
      <alignment horizontal="center"/>
      <protection/>
    </xf>
    <xf numFmtId="0" fontId="20" fillId="32" borderId="11" xfId="51" applyFont="1" applyFill="1" applyBorder="1" applyAlignment="1">
      <alignment horizontal="justify" vertical="top"/>
      <protection/>
    </xf>
    <xf numFmtId="0" fontId="20" fillId="32" borderId="11" xfId="51" applyFont="1" applyFill="1" applyBorder="1" applyAlignment="1">
      <alignment horizontal="center" vertical="center"/>
      <protection/>
    </xf>
    <xf numFmtId="0" fontId="20" fillId="32" borderId="11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20" fillId="23" borderId="11" xfId="51" applyFont="1" applyFill="1" applyBorder="1" applyAlignment="1">
      <alignment horizontal="center"/>
      <protection/>
    </xf>
    <xf numFmtId="0" fontId="20" fillId="23" borderId="11" xfId="51" applyFont="1" applyFill="1" applyBorder="1" applyAlignment="1">
      <alignment horizontal="justify" vertical="top"/>
      <protection/>
    </xf>
    <xf numFmtId="0" fontId="20" fillId="23" borderId="11" xfId="51" applyFont="1" applyFill="1" applyBorder="1" applyAlignment="1">
      <alignment horizontal="center" vertical="center"/>
      <protection/>
    </xf>
    <xf numFmtId="0" fontId="25" fillId="23" borderId="11" xfId="51" applyFont="1" applyFill="1" applyBorder="1" applyAlignment="1">
      <alignment horizontal="center" vertical="center"/>
      <protection/>
    </xf>
    <xf numFmtId="0" fontId="25" fillId="2" borderId="11" xfId="51" applyFont="1" applyFill="1" applyBorder="1" applyAlignment="1">
      <alignment horizontal="center" vertical="center"/>
      <protection/>
    </xf>
    <xf numFmtId="0" fontId="25" fillId="2" borderId="11" xfId="0" applyFont="1" applyFill="1" applyBorder="1" applyAlignment="1">
      <alignment horizontal="center" vertical="center"/>
    </xf>
    <xf numFmtId="0" fontId="20" fillId="0" borderId="0" xfId="51" applyFont="1" applyBorder="1">
      <alignment/>
      <protection/>
    </xf>
    <xf numFmtId="0" fontId="20" fillId="25" borderId="11" xfId="0" applyFont="1" applyFill="1" applyBorder="1" applyAlignment="1">
      <alignment horizontal="center" vertical="center"/>
    </xf>
    <xf numFmtId="0" fontId="20" fillId="30" borderId="11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2" borderId="11" xfId="51" applyFont="1" applyFill="1" applyBorder="1" applyAlignment="1">
      <alignment horizontal="center" vertical="center"/>
      <protection/>
    </xf>
    <xf numFmtId="0" fontId="20" fillId="22" borderId="11" xfId="0" applyFont="1" applyFill="1" applyBorder="1" applyAlignment="1">
      <alignment horizontal="center" vertical="center"/>
    </xf>
    <xf numFmtId="0" fontId="18" fillId="0" borderId="0" xfId="51" applyFont="1" applyAlignment="1">
      <alignment horizontal="center" vertical="center"/>
      <protection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left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4" fillId="0" borderId="0" xfId="52" applyFont="1" applyBorder="1" applyAlignment="1">
      <alignment horizontal="center" vertical="center"/>
      <protection/>
    </xf>
    <xf numFmtId="0" fontId="20" fillId="0" borderId="11" xfId="52" applyFont="1" applyBorder="1">
      <alignment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/>
      <protection/>
    </xf>
    <xf numFmtId="0" fontId="24" fillId="0" borderId="0" xfId="51" applyFont="1" applyAlignment="1">
      <alignment horizontal="center" vertical="center"/>
      <protection/>
    </xf>
    <xf numFmtId="0" fontId="20" fillId="0" borderId="11" xfId="51" applyFont="1" applyBorder="1" applyAlignment="1">
      <alignment horizontal="center" vertical="center"/>
      <protection/>
    </xf>
    <xf numFmtId="0" fontId="20" fillId="0" borderId="11" xfId="51" applyFont="1" applyBorder="1">
      <alignment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left" vertical="top" wrapText="1" indent="4"/>
      <protection/>
    </xf>
    <xf numFmtId="0" fontId="20" fillId="0" borderId="0" xfId="51" applyFont="1" applyBorder="1" applyAlignment="1">
      <alignment horizontal="left" wrapText="1"/>
      <protection/>
    </xf>
    <xf numFmtId="0" fontId="0" fillId="0" borderId="11" xfId="0" applyBorder="1" applyAlignment="1">
      <alignment horizontal="center" vertical="center"/>
    </xf>
  </cellXfs>
  <cellStyles count="91">
    <cellStyle name="Normal" xfId="0"/>
    <cellStyle name="20% - Акцент1" xfId="15"/>
    <cellStyle name="20% - Акцент1 1" xfId="16"/>
    <cellStyle name="20% - Акцент2" xfId="17"/>
    <cellStyle name="20% - Акцент2 1" xfId="18"/>
    <cellStyle name="20% - Акцент3" xfId="19"/>
    <cellStyle name="20% - Акцент3 1" xfId="20"/>
    <cellStyle name="20% - Акцент4" xfId="21"/>
    <cellStyle name="20% - Акцент4 1" xfId="22"/>
    <cellStyle name="20% - Акцент5" xfId="23"/>
    <cellStyle name="20% - Акцент5 1" xfId="24"/>
    <cellStyle name="20% - Акцент6" xfId="25"/>
    <cellStyle name="20% - Акцент6 1" xfId="26"/>
    <cellStyle name="40% - Акцент1" xfId="27"/>
    <cellStyle name="40% - Акцент1 1" xfId="28"/>
    <cellStyle name="40% - Акцент2" xfId="29"/>
    <cellStyle name="40% - Акцент2 1" xfId="30"/>
    <cellStyle name="40% - Акцент3" xfId="31"/>
    <cellStyle name="40% - Акцент3 1" xfId="32"/>
    <cellStyle name="40% - Акцент4" xfId="33"/>
    <cellStyle name="40% - Акцент4 1" xfId="34"/>
    <cellStyle name="40% - Акцент5" xfId="35"/>
    <cellStyle name="40% - Акцент5 1" xfId="36"/>
    <cellStyle name="40% - Акцент6" xfId="37"/>
    <cellStyle name="40% - Акцент6 1" xfId="38"/>
    <cellStyle name="60% - Акцент1" xfId="39"/>
    <cellStyle name="60% - Акцент1 1" xfId="40"/>
    <cellStyle name="60% - Акцент2" xfId="41"/>
    <cellStyle name="60% - Акцент2 1" xfId="42"/>
    <cellStyle name="60% - Акцент3" xfId="43"/>
    <cellStyle name="60% - Акцент3 1" xfId="44"/>
    <cellStyle name="60% - Акцент4" xfId="45"/>
    <cellStyle name="60% - Акцент4 1" xfId="46"/>
    <cellStyle name="60% - Акцент5" xfId="47"/>
    <cellStyle name="60% - Акцент5 1" xfId="48"/>
    <cellStyle name="60% - Акцент6" xfId="49"/>
    <cellStyle name="60% - Акцент6 1" xfId="50"/>
    <cellStyle name="Excel Built-in Normal" xfId="51"/>
    <cellStyle name="Excel Built-in Normal 1" xfId="52"/>
    <cellStyle name="Excel Built-in Normal 2" xfId="53"/>
    <cellStyle name="Акцент1" xfId="54"/>
    <cellStyle name="Акцент1 1" xfId="55"/>
    <cellStyle name="Акцент2" xfId="56"/>
    <cellStyle name="Акцент2 1" xfId="57"/>
    <cellStyle name="Акцент3" xfId="58"/>
    <cellStyle name="Акцент3 1" xfId="59"/>
    <cellStyle name="Акцент4" xfId="60"/>
    <cellStyle name="Акцент4 1" xfId="61"/>
    <cellStyle name="Акцент5" xfId="62"/>
    <cellStyle name="Акцент5 1" xfId="63"/>
    <cellStyle name="Акцент6" xfId="64"/>
    <cellStyle name="Акцент6 1" xfId="65"/>
    <cellStyle name="Ввод " xfId="66"/>
    <cellStyle name="Ввод  1" xfId="67"/>
    <cellStyle name="Вывод" xfId="68"/>
    <cellStyle name="Вывод 1" xfId="69"/>
    <cellStyle name="Вычисление" xfId="70"/>
    <cellStyle name="Вычисление 1" xfId="71"/>
    <cellStyle name="Currency" xfId="72"/>
    <cellStyle name="Currency [0]" xfId="73"/>
    <cellStyle name="Заголовок 1" xfId="74"/>
    <cellStyle name="Заголовок 1 1" xfId="75"/>
    <cellStyle name="Заголовок 2" xfId="76"/>
    <cellStyle name="Заголовок 2 1" xfId="77"/>
    <cellStyle name="Заголовок 3" xfId="78"/>
    <cellStyle name="Заголовок 3 1" xfId="79"/>
    <cellStyle name="Заголовок 4" xfId="80"/>
    <cellStyle name="Заголовок 4 1" xfId="81"/>
    <cellStyle name="Итог" xfId="82"/>
    <cellStyle name="Итог 1" xfId="83"/>
    <cellStyle name="Контрольная ячейка" xfId="84"/>
    <cellStyle name="Контрольная ячейка 1" xfId="85"/>
    <cellStyle name="Название" xfId="86"/>
    <cellStyle name="Название 1" xfId="87"/>
    <cellStyle name="Нейтральный" xfId="88"/>
    <cellStyle name="Нейтральный 1" xfId="89"/>
    <cellStyle name="Плохой" xfId="90"/>
    <cellStyle name="Плохой 1" xfId="91"/>
    <cellStyle name="Пояснение" xfId="92"/>
    <cellStyle name="Пояснение 1" xfId="93"/>
    <cellStyle name="Примечание" xfId="94"/>
    <cellStyle name="Примечание 1" xfId="95"/>
    <cellStyle name="Percent" xfId="96"/>
    <cellStyle name="Связанная ячейка" xfId="97"/>
    <cellStyle name="Связанная ячейка 1" xfId="98"/>
    <cellStyle name="Текст предупреждения" xfId="99"/>
    <cellStyle name="Текст предупреждения 1" xfId="100"/>
    <cellStyle name="Comma" xfId="101"/>
    <cellStyle name="Comma [0]" xfId="102"/>
    <cellStyle name="Хороший" xfId="103"/>
    <cellStyle name="Хороший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47B8B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00"/>
      <rgbColor rgb="0000FFFF"/>
      <rgbColor rgb="00800080"/>
      <rgbColor rgb="00800000"/>
      <rgbColor rgb="00008080"/>
      <rgbColor rgb="000000FF"/>
      <rgbColor rgb="0000B8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G23" sqref="G23:H26"/>
    </sheetView>
  </sheetViews>
  <sheetFormatPr defaultColWidth="11.57421875" defaultRowHeight="15"/>
  <cols>
    <col min="1" max="1" width="51.140625" style="0" customWidth="1"/>
    <col min="2" max="2" width="17.28125" style="0" customWidth="1"/>
    <col min="3" max="3" width="11.57421875" style="0" customWidth="1"/>
    <col min="4" max="4" width="13.28125" style="0" customWidth="1"/>
    <col min="5" max="7" width="11.57421875" style="0" customWidth="1"/>
    <col min="8" max="8" width="0" style="0" hidden="1" customWidth="1"/>
  </cols>
  <sheetData>
    <row r="2" spans="1:6" ht="18.75">
      <c r="A2" s="143" t="s">
        <v>0</v>
      </c>
      <c r="B2" s="143"/>
      <c r="C2" s="143"/>
      <c r="D2" s="143"/>
      <c r="E2" s="143"/>
      <c r="F2" s="143"/>
    </row>
    <row r="3" ht="18.75">
      <c r="B3" s="1"/>
    </row>
    <row r="5" spans="1:8" ht="15.75" customHeight="1">
      <c r="A5" s="2"/>
      <c r="B5" s="144" t="s">
        <v>1</v>
      </c>
      <c r="C5" s="145" t="s">
        <v>2</v>
      </c>
      <c r="D5" s="145"/>
      <c r="E5" s="145"/>
      <c r="F5" s="145"/>
      <c r="G5" s="144" t="s">
        <v>3</v>
      </c>
      <c r="H5" s="144"/>
    </row>
    <row r="6" spans="1:8" ht="15.75">
      <c r="A6" s="4"/>
      <c r="B6" s="144"/>
      <c r="C6" s="145" t="s">
        <v>4</v>
      </c>
      <c r="D6" s="145"/>
      <c r="E6" s="145" t="s">
        <v>5</v>
      </c>
      <c r="F6" s="145"/>
      <c r="G6" s="144"/>
      <c r="H6" s="144"/>
    </row>
    <row r="7" spans="1:8" ht="15.75">
      <c r="A7" s="4" t="s">
        <v>6</v>
      </c>
      <c r="B7" s="5">
        <f>B9+B12+B14</f>
        <v>753</v>
      </c>
      <c r="C7" s="146">
        <v>254</v>
      </c>
      <c r="D7" s="146"/>
      <c r="E7" s="146">
        <f>E12+E14+E9</f>
        <v>174</v>
      </c>
      <c r="F7" s="146"/>
      <c r="G7" s="145">
        <f>B7+C7+E7</f>
        <v>1181</v>
      </c>
      <c r="H7" s="145"/>
    </row>
    <row r="8" spans="1:8" ht="15.75">
      <c r="A8" s="4" t="s">
        <v>7</v>
      </c>
      <c r="B8" s="5">
        <f>B10+B15+B13</f>
        <v>8434.7</v>
      </c>
      <c r="C8" s="146">
        <f>C10+C15+C13</f>
        <v>1335.3</v>
      </c>
      <c r="D8" s="146"/>
      <c r="E8" s="146">
        <f>E10+E13+E15</f>
        <v>16516.9</v>
      </c>
      <c r="F8" s="146"/>
      <c r="G8" s="145">
        <f>B8+C8+E8</f>
        <v>26286.9</v>
      </c>
      <c r="H8" s="145"/>
    </row>
    <row r="9" spans="1:8" ht="15.75">
      <c r="A9" s="6" t="s">
        <v>8</v>
      </c>
      <c r="B9" s="5">
        <v>313</v>
      </c>
      <c r="C9" s="146">
        <v>54</v>
      </c>
      <c r="D9" s="146"/>
      <c r="E9" s="146">
        <v>60</v>
      </c>
      <c r="F9" s="146"/>
      <c r="G9" s="146">
        <f>B9+C9+E9</f>
        <v>427</v>
      </c>
      <c r="H9" s="146"/>
    </row>
    <row r="10" spans="1:8" ht="14.25" customHeight="1">
      <c r="A10" s="147" t="s">
        <v>9</v>
      </c>
      <c r="B10" s="146">
        <v>3491.7</v>
      </c>
      <c r="C10" s="146">
        <v>104.7</v>
      </c>
      <c r="D10" s="146"/>
      <c r="E10" s="146">
        <v>5375.5</v>
      </c>
      <c r="F10" s="146"/>
      <c r="G10" s="146">
        <f>B10+C10+E10</f>
        <v>8971.9</v>
      </c>
      <c r="H10" s="146"/>
    </row>
    <row r="11" spans="1:8" ht="12.75" customHeight="1" hidden="1">
      <c r="A11" s="147"/>
      <c r="B11" s="146"/>
      <c r="C11" s="146"/>
      <c r="D11" s="146"/>
      <c r="E11" s="146"/>
      <c r="F11" s="146"/>
      <c r="G11" s="146"/>
      <c r="H11" s="146"/>
    </row>
    <row r="12" spans="1:8" ht="15.75">
      <c r="A12" s="6" t="s">
        <v>10</v>
      </c>
      <c r="B12" s="5">
        <v>14</v>
      </c>
      <c r="C12" s="146">
        <v>12</v>
      </c>
      <c r="D12" s="146"/>
      <c r="E12" s="146">
        <v>4</v>
      </c>
      <c r="F12" s="146"/>
      <c r="G12" s="146">
        <v>30</v>
      </c>
      <c r="H12" s="146"/>
    </row>
    <row r="13" spans="1:8" ht="15.75">
      <c r="A13" s="6" t="s">
        <v>11</v>
      </c>
      <c r="B13" s="5">
        <v>112</v>
      </c>
      <c r="C13" s="146">
        <v>49</v>
      </c>
      <c r="D13" s="146"/>
      <c r="E13" s="146">
        <v>87</v>
      </c>
      <c r="F13" s="146"/>
      <c r="G13" s="146">
        <v>248</v>
      </c>
      <c r="H13" s="146"/>
    </row>
    <row r="14" spans="1:8" ht="15.75">
      <c r="A14" s="6" t="s">
        <v>12</v>
      </c>
      <c r="B14" s="5">
        <v>426</v>
      </c>
      <c r="C14" s="146">
        <v>188</v>
      </c>
      <c r="D14" s="146"/>
      <c r="E14" s="146">
        <v>110</v>
      </c>
      <c r="F14" s="146"/>
      <c r="G14" s="146">
        <f>E14+C14+B14</f>
        <v>724</v>
      </c>
      <c r="H14" s="146"/>
    </row>
    <row r="15" spans="1:8" ht="15.75">
      <c r="A15" s="6" t="s">
        <v>13</v>
      </c>
      <c r="B15" s="5">
        <v>4831</v>
      </c>
      <c r="C15" s="146">
        <f>1169.1+12.5</f>
        <v>1181.6</v>
      </c>
      <c r="D15" s="146"/>
      <c r="E15" s="146">
        <f>10630.4+424</f>
        <v>11054.4</v>
      </c>
      <c r="F15" s="146"/>
      <c r="G15" s="146">
        <f>B15+C15+E15</f>
        <v>17067</v>
      </c>
      <c r="H15" s="146"/>
    </row>
    <row r="16" spans="1:8" ht="14.25" customHeight="1">
      <c r="A16" s="148" t="s">
        <v>14</v>
      </c>
      <c r="B16" s="149">
        <v>234.3</v>
      </c>
      <c r="C16" s="149">
        <v>3878.62</v>
      </c>
      <c r="D16" s="149"/>
      <c r="E16" s="149">
        <v>40447.69</v>
      </c>
      <c r="F16" s="149"/>
      <c r="G16" s="149">
        <f>B16+C16+E16</f>
        <v>44560.61</v>
      </c>
      <c r="H16" s="149"/>
    </row>
    <row r="17" spans="1:8" ht="15">
      <c r="A17" s="148"/>
      <c r="B17" s="149"/>
      <c r="C17" s="149"/>
      <c r="D17" s="149"/>
      <c r="E17" s="149"/>
      <c r="F17" s="149"/>
      <c r="G17" s="149"/>
      <c r="H17" s="149"/>
    </row>
    <row r="18" spans="1:8" ht="15.75">
      <c r="A18" s="4" t="s">
        <v>15</v>
      </c>
      <c r="B18" s="3"/>
      <c r="C18" s="145"/>
      <c r="D18" s="145"/>
      <c r="E18" s="145"/>
      <c r="F18" s="145"/>
      <c r="G18" s="150">
        <f>G19+G23</f>
        <v>48711.8</v>
      </c>
      <c r="H18" s="150"/>
    </row>
    <row r="19" spans="1:8" ht="14.25" customHeight="1">
      <c r="A19" s="151" t="s">
        <v>16</v>
      </c>
      <c r="B19" s="145">
        <v>4136.9</v>
      </c>
      <c r="C19" s="145">
        <v>1825.89</v>
      </c>
      <c r="D19" s="145"/>
      <c r="E19" s="145">
        <f>1067.97+5799.12</f>
        <v>6867.09</v>
      </c>
      <c r="F19" s="145"/>
      <c r="G19" s="145">
        <f>B19+C19+E19</f>
        <v>12829.880000000001</v>
      </c>
      <c r="H19" s="145"/>
    </row>
    <row r="20" spans="1:8" ht="15">
      <c r="A20" s="151"/>
      <c r="B20" s="145"/>
      <c r="C20" s="145"/>
      <c r="D20" s="145"/>
      <c r="E20" s="145"/>
      <c r="F20" s="145"/>
      <c r="G20" s="145"/>
      <c r="H20" s="145"/>
    </row>
    <row r="21" spans="1:8" ht="15">
      <c r="A21" s="151"/>
      <c r="B21" s="145"/>
      <c r="C21" s="145"/>
      <c r="D21" s="145"/>
      <c r="E21" s="145"/>
      <c r="F21" s="145"/>
      <c r="G21" s="145"/>
      <c r="H21" s="145"/>
    </row>
    <row r="22" spans="1:8" ht="15">
      <c r="A22" s="151"/>
      <c r="B22" s="145"/>
      <c r="C22" s="145"/>
      <c r="D22" s="145"/>
      <c r="E22" s="145"/>
      <c r="F22" s="145"/>
      <c r="G22" s="145"/>
      <c r="H22" s="145"/>
    </row>
    <row r="23" spans="1:8" ht="14.25" customHeight="1">
      <c r="A23" s="151" t="s">
        <v>17</v>
      </c>
      <c r="B23" s="145"/>
      <c r="C23" s="145"/>
      <c r="D23" s="145"/>
      <c r="E23" s="145"/>
      <c r="F23" s="145"/>
      <c r="G23" s="152">
        <f>32532.3+3349.62</f>
        <v>35881.92</v>
      </c>
      <c r="H23" s="152"/>
    </row>
    <row r="24" spans="1:8" ht="15">
      <c r="A24" s="151"/>
      <c r="B24" s="145"/>
      <c r="C24" s="145"/>
      <c r="D24" s="145"/>
      <c r="E24" s="145"/>
      <c r="F24" s="145"/>
      <c r="G24" s="152"/>
      <c r="H24" s="152"/>
    </row>
    <row r="25" spans="1:8" ht="15">
      <c r="A25" s="151"/>
      <c r="B25" s="145"/>
      <c r="C25" s="145"/>
      <c r="D25" s="145"/>
      <c r="E25" s="145"/>
      <c r="F25" s="145"/>
      <c r="G25" s="152"/>
      <c r="H25" s="152"/>
    </row>
    <row r="26" spans="1:8" ht="15">
      <c r="A26" s="151"/>
      <c r="B26" s="145"/>
      <c r="C26" s="145"/>
      <c r="D26" s="145"/>
      <c r="E26" s="145"/>
      <c r="F26" s="145"/>
      <c r="G26" s="152"/>
      <c r="H26" s="152"/>
    </row>
    <row r="27" spans="1:8" ht="15.75">
      <c r="A27" s="7"/>
      <c r="B27" s="8"/>
      <c r="C27" s="9"/>
      <c r="D27" s="9"/>
      <c r="E27" s="9"/>
      <c r="F27" s="9"/>
      <c r="G27" s="9"/>
      <c r="H27" s="9"/>
    </row>
    <row r="29" spans="1:5" ht="15.75">
      <c r="A29" s="10"/>
      <c r="E29" s="11"/>
    </row>
    <row r="31" spans="1:5" ht="15.75">
      <c r="A31" s="11"/>
      <c r="E31" s="11"/>
    </row>
    <row r="32" spans="1:5" ht="15.75">
      <c r="A32" s="12"/>
      <c r="E32" s="11"/>
    </row>
  </sheetData>
  <sheetProtection selectLockedCells="1" selectUnlockedCells="1"/>
  <mergeCells count="50">
    <mergeCell ref="A19:A22"/>
    <mergeCell ref="B19:B22"/>
    <mergeCell ref="C19:D22"/>
    <mergeCell ref="E19:F22"/>
    <mergeCell ref="G19:H22"/>
    <mergeCell ref="A23:A26"/>
    <mergeCell ref="B23:B26"/>
    <mergeCell ref="C23:D26"/>
    <mergeCell ref="E23:F26"/>
    <mergeCell ref="G23:H26"/>
    <mergeCell ref="A16:A17"/>
    <mergeCell ref="B16:B17"/>
    <mergeCell ref="C16:D17"/>
    <mergeCell ref="E16:F17"/>
    <mergeCell ref="G16:H17"/>
    <mergeCell ref="C18:D18"/>
    <mergeCell ref="E18:F18"/>
    <mergeCell ref="G18:H18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9:D9"/>
    <mergeCell ref="E9:F9"/>
    <mergeCell ref="G9:H9"/>
    <mergeCell ref="A10:A11"/>
    <mergeCell ref="B10:B11"/>
    <mergeCell ref="C10:D11"/>
    <mergeCell ref="E10:F11"/>
    <mergeCell ref="G10:H11"/>
    <mergeCell ref="C7:D7"/>
    <mergeCell ref="E7:F7"/>
    <mergeCell ref="G7:H7"/>
    <mergeCell ref="C8:D8"/>
    <mergeCell ref="E8:F8"/>
    <mergeCell ref="G8:H8"/>
    <mergeCell ref="A2:F2"/>
    <mergeCell ref="B5:B6"/>
    <mergeCell ref="C5:F5"/>
    <mergeCell ref="G5:H6"/>
    <mergeCell ref="C6:D6"/>
    <mergeCell ref="E6:F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&amp;C&amp;"Arial,Обычный"&amp;10&amp;A</oddHeader>
    <oddFooter>&amp;C&amp;"Arial,Обычный"&amp;10Страница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B1">
      <selection activeCell="C16" sqref="C16"/>
    </sheetView>
  </sheetViews>
  <sheetFormatPr defaultColWidth="9.421875" defaultRowHeight="15"/>
  <cols>
    <col min="1" max="1" width="0" style="13" hidden="1" customWidth="1"/>
    <col min="2" max="2" width="71.00390625" style="13" customWidth="1"/>
    <col min="3" max="3" width="15.140625" style="13" customWidth="1"/>
    <col min="4" max="4" width="14.28125" style="13" customWidth="1"/>
    <col min="5" max="5" width="16.421875" style="13" customWidth="1"/>
    <col min="6" max="6" width="9.00390625" style="13" customWidth="1"/>
    <col min="7" max="7" width="10.57421875" style="13" customWidth="1"/>
    <col min="8" max="16384" width="9.421875" style="13" customWidth="1"/>
  </cols>
  <sheetData>
    <row r="2" spans="2:7" ht="15.75">
      <c r="B2" s="153" t="s">
        <v>18</v>
      </c>
      <c r="C2" s="153"/>
      <c r="D2" s="153"/>
      <c r="E2" s="153"/>
      <c r="F2" s="153"/>
      <c r="G2" s="153"/>
    </row>
    <row r="3" spans="2:7" ht="17.25" customHeight="1">
      <c r="B3" s="14"/>
      <c r="C3" s="15"/>
      <c r="D3" s="16"/>
      <c r="E3" s="16"/>
      <c r="F3" s="16"/>
      <c r="G3" s="16"/>
    </row>
    <row r="4" spans="2:7" ht="18.75" customHeight="1">
      <c r="B4" s="154"/>
      <c r="C4" s="155" t="s">
        <v>1</v>
      </c>
      <c r="D4" s="156" t="s">
        <v>2</v>
      </c>
      <c r="E4" s="156"/>
      <c r="F4" s="156"/>
      <c r="G4" s="156" t="s">
        <v>3</v>
      </c>
    </row>
    <row r="5" spans="2:7" ht="41.25" customHeight="1">
      <c r="B5" s="154"/>
      <c r="C5" s="155"/>
      <c r="D5" s="17" t="s">
        <v>4</v>
      </c>
      <c r="E5" s="17" t="s">
        <v>19</v>
      </c>
      <c r="F5" s="17" t="s">
        <v>20</v>
      </c>
      <c r="G5" s="156"/>
    </row>
    <row r="6" spans="2:7" ht="17.25" customHeight="1">
      <c r="B6" s="18" t="s">
        <v>6</v>
      </c>
      <c r="C6" s="19">
        <f>C8+C10</f>
        <v>385</v>
      </c>
      <c r="D6" s="19">
        <f>D8+D10</f>
        <v>83</v>
      </c>
      <c r="E6" s="20">
        <f>E8+E10</f>
        <v>23</v>
      </c>
      <c r="F6" s="20">
        <f>F8+F10</f>
        <v>4</v>
      </c>
      <c r="G6" s="21">
        <f aca="true" t="shared" si="0" ref="G6:G14">SUM(C6:F6)</f>
        <v>495</v>
      </c>
    </row>
    <row r="7" spans="2:7" ht="18.75" customHeight="1">
      <c r="B7" s="18" t="s">
        <v>7</v>
      </c>
      <c r="C7" s="19">
        <v>5304.5</v>
      </c>
      <c r="D7" s="19">
        <v>731.8</v>
      </c>
      <c r="E7" s="19">
        <v>826.5</v>
      </c>
      <c r="F7" s="19">
        <v>734.2</v>
      </c>
      <c r="G7" s="21">
        <f t="shared" si="0"/>
        <v>7597</v>
      </c>
    </row>
    <row r="8" spans="2:7" ht="17.25" customHeight="1">
      <c r="B8" s="22" t="s">
        <v>8</v>
      </c>
      <c r="C8" s="23">
        <v>236</v>
      </c>
      <c r="D8" s="23">
        <v>10</v>
      </c>
      <c r="E8" s="23">
        <v>11</v>
      </c>
      <c r="F8" s="23">
        <v>3</v>
      </c>
      <c r="G8" s="24">
        <f t="shared" si="0"/>
        <v>260</v>
      </c>
    </row>
    <row r="9" spans="2:7" ht="18" customHeight="1">
      <c r="B9" s="25" t="s">
        <v>9</v>
      </c>
      <c r="C9" s="23">
        <f>C7-C11</f>
        <v>3139.9</v>
      </c>
      <c r="D9" s="23">
        <f>D7-D11</f>
        <v>89.89999999999998</v>
      </c>
      <c r="E9" s="23">
        <v>440</v>
      </c>
      <c r="F9" s="23">
        <v>574.2</v>
      </c>
      <c r="G9" s="24">
        <f t="shared" si="0"/>
        <v>4244</v>
      </c>
    </row>
    <row r="10" spans="2:7" ht="17.25" customHeight="1">
      <c r="B10" s="26" t="s">
        <v>21</v>
      </c>
      <c r="C10" s="27">
        <v>149</v>
      </c>
      <c r="D10" s="27">
        <v>73</v>
      </c>
      <c r="E10" s="27">
        <v>12</v>
      </c>
      <c r="F10" s="27">
        <v>1</v>
      </c>
      <c r="G10" s="28">
        <f t="shared" si="0"/>
        <v>235</v>
      </c>
    </row>
    <row r="11" spans="2:7" ht="16.5" customHeight="1">
      <c r="B11" s="29" t="s">
        <v>22</v>
      </c>
      <c r="C11" s="27">
        <v>2164.6</v>
      </c>
      <c r="D11" s="27">
        <v>641.9</v>
      </c>
      <c r="E11" s="27">
        <v>386.5</v>
      </c>
      <c r="F11" s="27">
        <v>160</v>
      </c>
      <c r="G11" s="28">
        <f t="shared" si="0"/>
        <v>3353</v>
      </c>
    </row>
    <row r="12" spans="2:7" ht="17.25" customHeight="1">
      <c r="B12" s="30" t="s">
        <v>23</v>
      </c>
      <c r="C12" s="31">
        <v>111</v>
      </c>
      <c r="D12" s="31">
        <v>25</v>
      </c>
      <c r="E12" s="31">
        <v>6</v>
      </c>
      <c r="F12" s="31">
        <v>0</v>
      </c>
      <c r="G12" s="32">
        <f t="shared" si="0"/>
        <v>142</v>
      </c>
    </row>
    <row r="13" spans="2:7" ht="18" customHeight="1">
      <c r="B13" s="33" t="s">
        <v>24</v>
      </c>
      <c r="C13" s="34">
        <v>734.8</v>
      </c>
      <c r="D13" s="35">
        <v>169.4</v>
      </c>
      <c r="E13" s="35">
        <v>93.5</v>
      </c>
      <c r="F13" s="35">
        <v>0</v>
      </c>
      <c r="G13" s="36">
        <f t="shared" si="0"/>
        <v>997.6999999999999</v>
      </c>
    </row>
    <row r="14" spans="2:7" ht="16.5" customHeight="1">
      <c r="B14" s="37" t="s">
        <v>25</v>
      </c>
      <c r="C14" s="38">
        <v>139.16</v>
      </c>
      <c r="D14" s="38">
        <v>40.75</v>
      </c>
      <c r="E14" s="38">
        <v>2213.16</v>
      </c>
      <c r="F14" s="38">
        <v>2576.97</v>
      </c>
      <c r="G14" s="39">
        <f t="shared" si="0"/>
        <v>4970.039999999999</v>
      </c>
    </row>
    <row r="15" spans="2:7" ht="30" customHeight="1">
      <c r="B15" s="40" t="s">
        <v>26</v>
      </c>
      <c r="C15" s="41"/>
      <c r="D15" s="41"/>
      <c r="E15" s="41"/>
      <c r="F15" s="41"/>
      <c r="G15" s="42">
        <f>G19+G20</f>
        <v>5899.143540000001</v>
      </c>
    </row>
    <row r="16" spans="2:7" ht="45" customHeight="1">
      <c r="B16" s="25" t="s">
        <v>27</v>
      </c>
      <c r="C16" s="43">
        <f>C10*5.237</f>
        <v>780.313</v>
      </c>
      <c r="D16" s="43">
        <f>D10*5.237</f>
        <v>382.301</v>
      </c>
      <c r="E16" s="44">
        <f>E10*5.237</f>
        <v>62.844</v>
      </c>
      <c r="F16" s="45">
        <f>F10*5.237+1442.30254</f>
        <v>1447.53954</v>
      </c>
      <c r="G16" s="46">
        <f>SUM(C16:F16)</f>
        <v>2672.9975400000003</v>
      </c>
    </row>
    <row r="17" spans="2:7" ht="18.75" customHeight="1">
      <c r="B17" s="47" t="s">
        <v>28</v>
      </c>
      <c r="C17" s="48">
        <f>5.147*C12</f>
        <v>571.317</v>
      </c>
      <c r="D17" s="48">
        <f>5.147*D12</f>
        <v>128.675</v>
      </c>
      <c r="E17" s="44">
        <f>5.147*E12</f>
        <v>30.882</v>
      </c>
      <c r="F17" s="44">
        <f>5.147*F12</f>
        <v>0</v>
      </c>
      <c r="G17" s="49">
        <f>SUM(C17:F17)</f>
        <v>730.8739999999999</v>
      </c>
    </row>
    <row r="18" spans="2:7" ht="46.5" customHeight="1">
      <c r="B18" s="50" t="s">
        <v>29</v>
      </c>
      <c r="C18" s="43">
        <f>C12*6.191</f>
        <v>687.201</v>
      </c>
      <c r="D18" s="43">
        <f>D12*6.191</f>
        <v>154.775</v>
      </c>
      <c r="E18" s="44">
        <f>E12*6.191</f>
        <v>37.146</v>
      </c>
      <c r="F18" s="44">
        <f>F12*6.191</f>
        <v>0</v>
      </c>
      <c r="G18" s="46">
        <f>SUM(C18:F18)</f>
        <v>879.122</v>
      </c>
    </row>
    <row r="19" spans="1:7" s="56" customFormat="1" ht="31.5" customHeight="1">
      <c r="A19" s="51"/>
      <c r="B19" s="30" t="s">
        <v>30</v>
      </c>
      <c r="C19" s="52"/>
      <c r="D19" s="52"/>
      <c r="E19" s="53"/>
      <c r="F19" s="54"/>
      <c r="G19" s="55">
        <f>G16+G17+G18</f>
        <v>4282.99354</v>
      </c>
    </row>
    <row r="20" spans="1:7" s="56" customFormat="1" ht="18" customHeight="1">
      <c r="A20" s="57"/>
      <c r="B20" s="58" t="s">
        <v>31</v>
      </c>
      <c r="C20" s="59"/>
      <c r="D20" s="59"/>
      <c r="E20" s="59"/>
      <c r="F20" s="59"/>
      <c r="G20" s="60">
        <v>1616.15</v>
      </c>
    </row>
    <row r="21" spans="2:7" ht="15.75">
      <c r="B21" s="61"/>
      <c r="C21" s="62"/>
      <c r="D21" s="62"/>
      <c r="E21" s="62"/>
      <c r="F21" s="62"/>
      <c r="G21" s="62"/>
    </row>
    <row r="22" spans="2:7" ht="15.75">
      <c r="B22" s="10" t="s">
        <v>32</v>
      </c>
      <c r="C22"/>
      <c r="D22"/>
      <c r="E22" s="11" t="s">
        <v>33</v>
      </c>
      <c r="F22" s="11"/>
      <c r="G22" s="16"/>
    </row>
    <row r="23" spans="2:7" ht="15">
      <c r="B23"/>
      <c r="C23"/>
      <c r="D23"/>
      <c r="E23"/>
      <c r="F23"/>
      <c r="G23"/>
    </row>
    <row r="24" spans="2:7" ht="15.75">
      <c r="B24" s="11" t="s">
        <v>34</v>
      </c>
      <c r="C24"/>
      <c r="D24"/>
      <c r="E24" s="11"/>
      <c r="F24" s="11"/>
      <c r="G24"/>
    </row>
    <row r="25" spans="2:7" ht="15.75">
      <c r="B25" s="12" t="s">
        <v>35</v>
      </c>
      <c r="C25"/>
      <c r="D25"/>
      <c r="E25" s="11" t="s">
        <v>36</v>
      </c>
      <c r="F25" s="11"/>
      <c r="G25"/>
    </row>
  </sheetData>
  <sheetProtection selectLockedCells="1" selectUnlockedCells="1"/>
  <mergeCells count="5">
    <mergeCell ref="B2:G2"/>
    <mergeCell ref="B4:B5"/>
    <mergeCell ref="C4:C5"/>
    <mergeCell ref="D4:F4"/>
    <mergeCell ref="G4:G5"/>
  </mergeCells>
  <printOptions/>
  <pageMargins left="0.22847222222222222" right="0.07083333333333333" top="0.08263888888888889" bottom="0.12222222222222222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29" sqref="D29"/>
    </sheetView>
  </sheetViews>
  <sheetFormatPr defaultColWidth="9.421875" defaultRowHeight="15"/>
  <cols>
    <col min="1" max="1" width="4.57421875" style="0" customWidth="1"/>
    <col min="2" max="2" width="71.140625" style="13" customWidth="1"/>
    <col min="3" max="5" width="14.57421875" style="13" customWidth="1"/>
    <col min="6" max="6" width="10.28125" style="13" customWidth="1"/>
    <col min="7" max="7" width="12.140625" style="13" customWidth="1"/>
    <col min="8" max="16384" width="9.421875" style="13" customWidth="1"/>
  </cols>
  <sheetData>
    <row r="1" spans="2:7" ht="24.75" customHeight="1">
      <c r="B1" s="157" t="s">
        <v>37</v>
      </c>
      <c r="C1" s="157"/>
      <c r="D1" s="157"/>
      <c r="E1" s="157"/>
      <c r="F1" s="157"/>
      <c r="G1" s="157"/>
    </row>
    <row r="2" spans="2:3" ht="17.25" customHeight="1">
      <c r="B2" s="63"/>
      <c r="C2" s="64"/>
    </row>
    <row r="3" spans="1:7" ht="15.75" customHeight="1">
      <c r="A3" s="158"/>
      <c r="B3" s="159"/>
      <c r="C3" s="160" t="s">
        <v>1</v>
      </c>
      <c r="D3" s="158" t="s">
        <v>2</v>
      </c>
      <c r="E3" s="158"/>
      <c r="F3" s="158"/>
      <c r="G3" s="158" t="s">
        <v>3</v>
      </c>
    </row>
    <row r="4" spans="1:7" ht="51" customHeight="1">
      <c r="A4" s="158"/>
      <c r="B4" s="158"/>
      <c r="C4" s="160"/>
      <c r="D4" s="65" t="s">
        <v>4</v>
      </c>
      <c r="E4" s="65" t="s">
        <v>19</v>
      </c>
      <c r="F4" s="65" t="s">
        <v>38</v>
      </c>
      <c r="G4" s="158"/>
    </row>
    <row r="5" spans="1:7" ht="16.5" customHeight="1">
      <c r="A5" s="66">
        <v>1</v>
      </c>
      <c r="B5" s="67" t="s">
        <v>6</v>
      </c>
      <c r="C5" s="66">
        <v>142</v>
      </c>
      <c r="D5" s="66">
        <v>66</v>
      </c>
      <c r="E5" s="66">
        <v>6</v>
      </c>
      <c r="F5" s="66">
        <v>0</v>
      </c>
      <c r="G5" s="68">
        <f aca="true" t="shared" si="0" ref="G5:G10">SUM(C5:F5)</f>
        <v>214</v>
      </c>
    </row>
    <row r="6" spans="1:7" ht="16.5" customHeight="1">
      <c r="A6" s="66">
        <v>2</v>
      </c>
      <c r="B6" s="67" t="s">
        <v>7</v>
      </c>
      <c r="C6" s="66">
        <v>1870.5</v>
      </c>
      <c r="D6" s="66">
        <v>488.3</v>
      </c>
      <c r="E6" s="66">
        <v>24</v>
      </c>
      <c r="F6" s="66">
        <v>0</v>
      </c>
      <c r="G6" s="68">
        <f t="shared" si="0"/>
        <v>2382.8</v>
      </c>
    </row>
    <row r="7" spans="1:7" ht="16.5" customHeight="1">
      <c r="A7" s="69">
        <v>3</v>
      </c>
      <c r="B7" s="70" t="s">
        <v>8</v>
      </c>
      <c r="C7" s="71">
        <v>0</v>
      </c>
      <c r="D7" s="71">
        <v>0</v>
      </c>
      <c r="E7" s="71">
        <v>0</v>
      </c>
      <c r="F7" s="71">
        <v>0</v>
      </c>
      <c r="G7" s="72">
        <f t="shared" si="0"/>
        <v>0</v>
      </c>
    </row>
    <row r="8" spans="1:7" ht="16.5" customHeight="1">
      <c r="A8" s="69">
        <v>4</v>
      </c>
      <c r="B8" s="47" t="s">
        <v>9</v>
      </c>
      <c r="C8" s="71">
        <v>0</v>
      </c>
      <c r="D8" s="71">
        <v>0</v>
      </c>
      <c r="E8" s="71">
        <v>0</v>
      </c>
      <c r="F8" s="71">
        <v>0</v>
      </c>
      <c r="G8" s="72">
        <f t="shared" si="0"/>
        <v>0</v>
      </c>
    </row>
    <row r="9" spans="1:7" ht="16.5" customHeight="1">
      <c r="A9" s="73">
        <v>5</v>
      </c>
      <c r="B9" s="74" t="s">
        <v>21</v>
      </c>
      <c r="C9" s="75">
        <f aca="true" t="shared" si="1" ref="C9:E10">C5</f>
        <v>142</v>
      </c>
      <c r="D9" s="75">
        <f t="shared" si="1"/>
        <v>66</v>
      </c>
      <c r="E9" s="75">
        <f t="shared" si="1"/>
        <v>6</v>
      </c>
      <c r="F9" s="75">
        <v>0</v>
      </c>
      <c r="G9" s="76">
        <f t="shared" si="0"/>
        <v>214</v>
      </c>
    </row>
    <row r="10" spans="1:7" ht="16.5" customHeight="1">
      <c r="A10" s="73">
        <v>6</v>
      </c>
      <c r="B10" s="77" t="s">
        <v>22</v>
      </c>
      <c r="C10" s="75">
        <f t="shared" si="1"/>
        <v>1870.5</v>
      </c>
      <c r="D10" s="75">
        <f t="shared" si="1"/>
        <v>488.3</v>
      </c>
      <c r="E10" s="75">
        <f t="shared" si="1"/>
        <v>24</v>
      </c>
      <c r="F10" s="75">
        <v>0</v>
      </c>
      <c r="G10" s="76">
        <f t="shared" si="0"/>
        <v>2382.8</v>
      </c>
    </row>
    <row r="11" spans="1:7" ht="16.5" customHeight="1">
      <c r="A11" s="78">
        <v>7</v>
      </c>
      <c r="B11" s="79" t="s">
        <v>39</v>
      </c>
      <c r="C11" s="80">
        <v>48</v>
      </c>
      <c r="D11" s="80">
        <v>30</v>
      </c>
      <c r="E11" s="80">
        <v>4</v>
      </c>
      <c r="F11" s="80">
        <v>0</v>
      </c>
      <c r="G11" s="81">
        <f>C11+D11+E11</f>
        <v>82</v>
      </c>
    </row>
    <row r="12" spans="1:7" ht="16.5" customHeight="1">
      <c r="A12" s="78">
        <v>8</v>
      </c>
      <c r="B12" s="79" t="s">
        <v>40</v>
      </c>
      <c r="C12" s="80">
        <v>21</v>
      </c>
      <c r="D12" s="80">
        <v>13</v>
      </c>
      <c r="E12" s="80">
        <v>2</v>
      </c>
      <c r="F12" s="80">
        <v>0</v>
      </c>
      <c r="G12" s="81">
        <f>C12+D12+E12</f>
        <v>36</v>
      </c>
    </row>
    <row r="13" spans="1:7" ht="16.5" customHeight="1">
      <c r="A13" s="82">
        <v>9</v>
      </c>
      <c r="B13" s="83" t="s">
        <v>24</v>
      </c>
      <c r="C13" s="84">
        <v>586.4</v>
      </c>
      <c r="D13" s="84">
        <v>259.8</v>
      </c>
      <c r="E13" s="84">
        <v>28.5</v>
      </c>
      <c r="F13" s="84">
        <v>0</v>
      </c>
      <c r="G13" s="85">
        <f>SUM(C13:F13)</f>
        <v>874.7</v>
      </c>
    </row>
    <row r="14" spans="1:7" ht="16.5" customHeight="1">
      <c r="A14" s="82">
        <v>10</v>
      </c>
      <c r="B14" s="83" t="s">
        <v>41</v>
      </c>
      <c r="C14" s="84">
        <v>226</v>
      </c>
      <c r="D14" s="84">
        <v>103.5</v>
      </c>
      <c r="E14" s="84">
        <v>35.5</v>
      </c>
      <c r="F14" s="84">
        <v>0</v>
      </c>
      <c r="G14" s="85">
        <f>SUM(C14:F14)</f>
        <v>365</v>
      </c>
    </row>
    <row r="15" spans="1:7" s="56" customFormat="1" ht="16.5" customHeight="1">
      <c r="A15" s="86">
        <v>11</v>
      </c>
      <c r="B15" s="87" t="s">
        <v>42</v>
      </c>
      <c r="C15" s="88"/>
      <c r="D15" s="88"/>
      <c r="E15" s="88"/>
      <c r="F15" s="88"/>
      <c r="G15" s="89">
        <v>278.68</v>
      </c>
    </row>
    <row r="16" spans="1:7" ht="31.5" customHeight="1">
      <c r="A16" s="90">
        <v>12</v>
      </c>
      <c r="B16" s="91" t="s">
        <v>43</v>
      </c>
      <c r="C16" s="92"/>
      <c r="D16" s="92"/>
      <c r="E16" s="92"/>
      <c r="F16" s="92"/>
      <c r="G16" s="93">
        <f>SUM(G17:G24)</f>
        <v>9748.9084</v>
      </c>
    </row>
    <row r="17" spans="1:7" ht="45.75" customHeight="1">
      <c r="A17" s="69">
        <v>13</v>
      </c>
      <c r="B17" s="47" t="s">
        <v>44</v>
      </c>
      <c r="C17" s="48">
        <f>6.179*C9</f>
        <v>877.418</v>
      </c>
      <c r="D17" s="48">
        <f>6.179*D9</f>
        <v>407.814</v>
      </c>
      <c r="E17" s="44">
        <f>6.179*E9</f>
        <v>37.074</v>
      </c>
      <c r="F17" s="44">
        <f>6.179*F9</f>
        <v>0</v>
      </c>
      <c r="G17" s="49">
        <f>SUM(C17:F17)</f>
        <v>1322.306</v>
      </c>
    </row>
    <row r="18" spans="1:7" ht="16.5" customHeight="1">
      <c r="A18" s="69">
        <v>14</v>
      </c>
      <c r="B18" s="47" t="s">
        <v>45</v>
      </c>
      <c r="C18" s="48">
        <f>6.073*C11</f>
        <v>291.504</v>
      </c>
      <c r="D18" s="48">
        <f>6.073*D11</f>
        <v>182.19</v>
      </c>
      <c r="E18" s="44">
        <f>6.073*E11</f>
        <v>24.292</v>
      </c>
      <c r="F18" s="44">
        <f>6.073*F11</f>
        <v>0</v>
      </c>
      <c r="G18" s="49">
        <f>SUM(C18:F18)</f>
        <v>497.986</v>
      </c>
    </row>
    <row r="19" spans="1:7" ht="15.75" hidden="1">
      <c r="A19" s="69"/>
      <c r="B19" s="94"/>
      <c r="C19" s="48"/>
      <c r="D19" s="48"/>
      <c r="E19" s="48"/>
      <c r="F19" s="48"/>
      <c r="G19" s="49"/>
    </row>
    <row r="20" spans="1:7" ht="15.75" hidden="1">
      <c r="A20" s="69"/>
      <c r="B20" s="94"/>
      <c r="C20" s="48"/>
      <c r="D20" s="48"/>
      <c r="E20" s="48"/>
      <c r="F20" s="48"/>
      <c r="G20" s="49"/>
    </row>
    <row r="21" spans="1:7" ht="15.75" hidden="1">
      <c r="A21" s="69"/>
      <c r="B21" s="94"/>
      <c r="C21" s="48"/>
      <c r="D21" s="48"/>
      <c r="E21" s="48"/>
      <c r="F21" s="48"/>
      <c r="G21" s="49"/>
    </row>
    <row r="22" spans="1:7" ht="46.5" customHeight="1">
      <c r="A22" s="69">
        <v>15</v>
      </c>
      <c r="B22" s="94" t="s">
        <v>46</v>
      </c>
      <c r="C22" s="48">
        <f>7.31*C11</f>
        <v>350.88</v>
      </c>
      <c r="D22" s="48">
        <f>7.31*D11</f>
        <v>219.29999999999998</v>
      </c>
      <c r="E22" s="44">
        <f>7.31*E11</f>
        <v>29.24</v>
      </c>
      <c r="F22" s="44">
        <f>7.31*F11</f>
        <v>0</v>
      </c>
      <c r="G22" s="49">
        <f>SUM(C22:F22)</f>
        <v>599.42</v>
      </c>
    </row>
    <row r="23" spans="1:7" ht="30.75" customHeight="1">
      <c r="A23" s="69">
        <v>16</v>
      </c>
      <c r="B23" s="22" t="s">
        <v>30</v>
      </c>
      <c r="C23" s="48"/>
      <c r="D23" s="48"/>
      <c r="E23" s="44"/>
      <c r="F23" s="44"/>
      <c r="G23" s="49">
        <f>G17+G18+G22</f>
        <v>2419.712</v>
      </c>
    </row>
    <row r="24" spans="1:7" ht="16.5" customHeight="1">
      <c r="A24" s="95">
        <v>17</v>
      </c>
      <c r="B24" s="96" t="s">
        <v>47</v>
      </c>
      <c r="C24" s="97"/>
      <c r="D24" s="97"/>
      <c r="E24" s="97"/>
      <c r="F24" s="97"/>
      <c r="G24" s="98">
        <f>4160.58*1.18</f>
        <v>4909.484399999999</v>
      </c>
    </row>
    <row r="25" spans="2:7" ht="14.25" customHeight="1">
      <c r="B25" s="99"/>
      <c r="C25" s="100"/>
      <c r="D25" s="100"/>
      <c r="E25" s="100"/>
      <c r="F25" s="100"/>
      <c r="G25" s="100"/>
    </row>
    <row r="26" spans="2:6" ht="15.75">
      <c r="B26" s="101" t="s">
        <v>48</v>
      </c>
      <c r="F26" s="102" t="s">
        <v>33</v>
      </c>
    </row>
    <row r="28" spans="2:7" ht="15.75">
      <c r="B28" s="103" t="s">
        <v>34</v>
      </c>
      <c r="C28" s="104"/>
      <c r="D28" s="104"/>
      <c r="E28" s="11"/>
      <c r="F28" s="104"/>
      <c r="G28"/>
    </row>
    <row r="29" spans="2:6" ht="15.75">
      <c r="B29" s="103" t="s">
        <v>35</v>
      </c>
      <c r="C29" s="104"/>
      <c r="D29" s="104"/>
      <c r="E29" s="11"/>
      <c r="F29" s="11" t="s">
        <v>36</v>
      </c>
    </row>
    <row r="32" spans="2:7" ht="15">
      <c r="B32" s="105"/>
      <c r="C32" s="105"/>
      <c r="D32" s="105"/>
      <c r="E32" s="105"/>
      <c r="F32" s="105"/>
      <c r="G32" s="105"/>
    </row>
    <row r="33" spans="2:7" ht="15">
      <c r="B33" s="161"/>
      <c r="C33" s="161"/>
      <c r="D33" s="161"/>
      <c r="E33" s="161"/>
      <c r="F33" s="161"/>
      <c r="G33" s="161"/>
    </row>
    <row r="34" spans="2:7" ht="15">
      <c r="B34" s="161"/>
      <c r="C34" s="161"/>
      <c r="D34" s="161"/>
      <c r="E34" s="161"/>
      <c r="F34" s="161"/>
      <c r="G34" s="161"/>
    </row>
    <row r="35" spans="2:7" ht="15">
      <c r="B35" s="161"/>
      <c r="C35" s="161"/>
      <c r="D35" s="161"/>
      <c r="E35" s="161"/>
      <c r="F35" s="161"/>
      <c r="G35" s="161"/>
    </row>
    <row r="36" spans="2:7" ht="15.75">
      <c r="B36" s="161"/>
      <c r="C36" s="106"/>
      <c r="D36" s="106"/>
      <c r="E36" s="106"/>
      <c r="F36" s="106"/>
      <c r="G36" s="106"/>
    </row>
    <row r="37" spans="2:7" ht="15">
      <c r="B37" s="162"/>
      <c r="C37" s="161"/>
      <c r="D37" s="161"/>
      <c r="E37" s="161"/>
      <c r="F37" s="161"/>
      <c r="G37" s="161"/>
    </row>
    <row r="38" spans="2:7" ht="15">
      <c r="B38" s="162"/>
      <c r="C38" s="161"/>
      <c r="D38" s="161"/>
      <c r="E38" s="161"/>
      <c r="F38" s="161"/>
      <c r="G38" s="161"/>
    </row>
    <row r="39" spans="2:7" ht="15">
      <c r="B39" s="105"/>
      <c r="C39" s="105"/>
      <c r="D39" s="105"/>
      <c r="E39" s="105"/>
      <c r="F39" s="105"/>
      <c r="G39" s="105"/>
    </row>
  </sheetData>
  <sheetProtection selectLockedCells="1" selectUnlockedCells="1"/>
  <mergeCells count="14">
    <mergeCell ref="B33:B36"/>
    <mergeCell ref="C33:C35"/>
    <mergeCell ref="D33:E35"/>
    <mergeCell ref="F33:G35"/>
    <mergeCell ref="B37:B38"/>
    <mergeCell ref="C37:C38"/>
    <mergeCell ref="D37:E38"/>
    <mergeCell ref="F37:G38"/>
    <mergeCell ref="B1:G1"/>
    <mergeCell ref="A3:A4"/>
    <mergeCell ref="B3:B4"/>
    <mergeCell ref="C3:C4"/>
    <mergeCell ref="D3:F3"/>
    <mergeCell ref="G3:G4"/>
  </mergeCells>
  <printOptions/>
  <pageMargins left="0.27569444444444446" right="0.27569444444444446" top="0.19652777777777777" bottom="0.0784722222222222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9" sqref="A19"/>
    </sheetView>
  </sheetViews>
  <sheetFormatPr defaultColWidth="9.421875" defaultRowHeight="15"/>
  <cols>
    <col min="1" max="1" width="71.140625" style="13" customWidth="1"/>
    <col min="2" max="6" width="14.57421875" style="13" customWidth="1"/>
    <col min="7" max="16384" width="9.421875" style="13" customWidth="1"/>
  </cols>
  <sheetData>
    <row r="1" spans="1:6" ht="24.75" customHeight="1">
      <c r="A1" s="157" t="s">
        <v>49</v>
      </c>
      <c r="B1" s="157"/>
      <c r="C1" s="157"/>
      <c r="D1" s="157"/>
      <c r="E1" s="157"/>
      <c r="F1" s="157"/>
    </row>
    <row r="2" spans="1:2" ht="17.25" customHeight="1">
      <c r="A2" s="63"/>
      <c r="B2" s="64"/>
    </row>
    <row r="3" spans="1:6" ht="15.75" customHeight="1">
      <c r="A3" s="159"/>
      <c r="B3" s="160" t="s">
        <v>1</v>
      </c>
      <c r="C3" s="158" t="s">
        <v>2</v>
      </c>
      <c r="D3" s="158"/>
      <c r="E3" s="158"/>
      <c r="F3" s="158" t="s">
        <v>3</v>
      </c>
    </row>
    <row r="4" spans="1:6" ht="51" customHeight="1">
      <c r="A4" s="159"/>
      <c r="B4" s="160"/>
      <c r="C4" s="65" t="s">
        <v>4</v>
      </c>
      <c r="D4" s="65" t="s">
        <v>19</v>
      </c>
      <c r="E4" s="65" t="s">
        <v>20</v>
      </c>
      <c r="F4" s="158"/>
    </row>
    <row r="5" spans="1:6" ht="16.5" customHeight="1">
      <c r="A5" s="67" t="s">
        <v>6</v>
      </c>
      <c r="B5" s="68">
        <v>564</v>
      </c>
      <c r="C5" s="68">
        <v>167</v>
      </c>
      <c r="D5" s="68">
        <v>32</v>
      </c>
      <c r="E5" s="68">
        <v>4</v>
      </c>
      <c r="F5" s="68">
        <f>SUM(B5:E5)</f>
        <v>767</v>
      </c>
    </row>
    <row r="6" spans="1:6" ht="16.5" customHeight="1">
      <c r="A6" s="67" t="s">
        <v>7</v>
      </c>
      <c r="B6" s="68">
        <v>7175</v>
      </c>
      <c r="C6" s="68">
        <v>1220.1</v>
      </c>
      <c r="D6" s="68">
        <v>850.5</v>
      </c>
      <c r="E6" s="68">
        <v>734.2</v>
      </c>
      <c r="F6" s="68">
        <f>SUM(B6:E6)</f>
        <v>9979.800000000001</v>
      </c>
    </row>
    <row r="7" spans="1:6" ht="16.5" customHeight="1">
      <c r="A7" s="70" t="s">
        <v>8</v>
      </c>
      <c r="B7" s="72">
        <v>236</v>
      </c>
      <c r="C7" s="72">
        <v>10</v>
      </c>
      <c r="D7" s="107">
        <v>11</v>
      </c>
      <c r="E7" s="107">
        <v>3</v>
      </c>
      <c r="F7" s="107">
        <f>B7+C7+D7+E7</f>
        <v>260</v>
      </c>
    </row>
    <row r="8" spans="1:6" ht="16.5" customHeight="1">
      <c r="A8" s="47" t="s">
        <v>9</v>
      </c>
      <c r="B8" s="72">
        <v>3139.9</v>
      </c>
      <c r="C8" s="72">
        <v>89.9</v>
      </c>
      <c r="D8" s="107">
        <v>440</v>
      </c>
      <c r="E8" s="107">
        <v>574.2</v>
      </c>
      <c r="F8" s="107">
        <f>B8+C8+D8+E8</f>
        <v>4244</v>
      </c>
    </row>
    <row r="9" spans="1:6" ht="16.5" customHeight="1">
      <c r="A9" s="74" t="s">
        <v>21</v>
      </c>
      <c r="B9" s="108">
        <v>328</v>
      </c>
      <c r="C9" s="108">
        <v>157</v>
      </c>
      <c r="D9" s="109">
        <v>21</v>
      </c>
      <c r="E9" s="109">
        <v>1</v>
      </c>
      <c r="F9" s="109">
        <f>B9+C9+D9+E9</f>
        <v>507</v>
      </c>
    </row>
    <row r="10" spans="1:6" ht="16.5" customHeight="1">
      <c r="A10" s="77" t="s">
        <v>22</v>
      </c>
      <c r="B10" s="108">
        <v>4035.1</v>
      </c>
      <c r="C10" s="108">
        <v>1130.2</v>
      </c>
      <c r="D10" s="109">
        <v>410.5</v>
      </c>
      <c r="E10" s="109">
        <v>160</v>
      </c>
      <c r="F10" s="109">
        <f>B10+C10+D10+E10</f>
        <v>5735.8</v>
      </c>
    </row>
    <row r="11" spans="1:6" ht="16.5" customHeight="1">
      <c r="A11" s="79" t="s">
        <v>39</v>
      </c>
      <c r="B11" s="81">
        <v>159</v>
      </c>
      <c r="C11" s="81">
        <v>55</v>
      </c>
      <c r="D11" s="110">
        <v>10</v>
      </c>
      <c r="E11" s="110">
        <v>0</v>
      </c>
      <c r="F11" s="110">
        <f>B11+C11+D11+E11</f>
        <v>224</v>
      </c>
    </row>
    <row r="12" spans="1:6" ht="16.5" customHeight="1">
      <c r="A12" s="79" t="s">
        <v>40</v>
      </c>
      <c r="B12" s="81">
        <v>21</v>
      </c>
      <c r="C12" s="81">
        <v>13</v>
      </c>
      <c r="D12" s="81">
        <v>2</v>
      </c>
      <c r="E12" s="81">
        <v>0</v>
      </c>
      <c r="F12" s="81">
        <f>B12+C12+D12</f>
        <v>36</v>
      </c>
    </row>
    <row r="13" spans="1:6" ht="16.5" customHeight="1">
      <c r="A13" s="83" t="s">
        <v>24</v>
      </c>
      <c r="B13" s="85">
        <v>1321.2</v>
      </c>
      <c r="C13" s="85">
        <v>429</v>
      </c>
      <c r="D13" s="111">
        <v>122</v>
      </c>
      <c r="E13" s="111">
        <v>0</v>
      </c>
      <c r="F13" s="111">
        <f>B13+C13+D13+E13</f>
        <v>1872.2</v>
      </c>
    </row>
    <row r="14" spans="1:6" ht="16.5" customHeight="1">
      <c r="A14" s="83" t="s">
        <v>41</v>
      </c>
      <c r="B14" s="85">
        <v>226</v>
      </c>
      <c r="C14" s="85">
        <v>103.5</v>
      </c>
      <c r="D14" s="85">
        <v>35.5</v>
      </c>
      <c r="E14" s="85">
        <v>0</v>
      </c>
      <c r="F14" s="85">
        <f>SUM(B14:E14)</f>
        <v>365</v>
      </c>
    </row>
    <row r="15" spans="1:6" s="56" customFormat="1" ht="16.5" customHeight="1">
      <c r="A15" s="87" t="s">
        <v>42</v>
      </c>
      <c r="B15" s="89"/>
      <c r="C15" s="89"/>
      <c r="D15" s="112"/>
      <c r="E15" s="112"/>
      <c r="F15" s="112">
        <f>B15+C15+D15+E15</f>
        <v>0</v>
      </c>
    </row>
    <row r="16" spans="1:6" ht="16.5" customHeight="1">
      <c r="A16" s="91" t="s">
        <v>50</v>
      </c>
      <c r="B16" s="92">
        <f>SUM(B17:B24)</f>
        <v>4470.88853</v>
      </c>
      <c r="C16" s="92">
        <f>SUM(C17:C24)</f>
        <v>1815.5794</v>
      </c>
      <c r="D16" s="92">
        <f>SUM(D17:D24)</f>
        <v>815.4508500000001</v>
      </c>
      <c r="E16" s="92">
        <f>E17+E18+E19+E23+E24</f>
        <v>916.51171</v>
      </c>
      <c r="F16" s="92">
        <f>F17+F18+F19+F23+F24</f>
        <v>14834.97049</v>
      </c>
    </row>
    <row r="17" spans="1:6" ht="45.75" customHeight="1">
      <c r="A17" s="47" t="s">
        <v>51</v>
      </c>
      <c r="B17" s="49">
        <f>6.17915*B9</f>
        <v>2026.7612</v>
      </c>
      <c r="C17" s="49">
        <f>6.17915*C9</f>
        <v>970.12655</v>
      </c>
      <c r="D17" s="113">
        <f>6.17915*D9+531+0.97</f>
        <v>661.73215</v>
      </c>
      <c r="E17" s="49">
        <f>6.17915*E9+905.57354+4.75902</f>
        <v>916.51171</v>
      </c>
      <c r="F17" s="49">
        <f>SUM(B17:E17)</f>
        <v>4575.1316099999995</v>
      </c>
    </row>
    <row r="18" spans="1:6" ht="16.5" customHeight="1">
      <c r="A18" s="114" t="s">
        <v>52</v>
      </c>
      <c r="B18" s="115">
        <f>6.07294*B11</f>
        <v>965.59746</v>
      </c>
      <c r="C18" s="115">
        <f>6.07294*C11</f>
        <v>334.0117</v>
      </c>
      <c r="D18" s="116">
        <f>6.07294*D11</f>
        <v>60.7294</v>
      </c>
      <c r="E18" s="116">
        <f>6.07294*E11</f>
        <v>0</v>
      </c>
      <c r="F18" s="115">
        <f>SUM(B18:E18)</f>
        <v>1360.33856</v>
      </c>
    </row>
    <row r="19" spans="1:6" ht="60" customHeight="1">
      <c r="A19" s="114" t="s">
        <v>53</v>
      </c>
      <c r="B19" s="115">
        <f>1.99306*B11</f>
        <v>316.89654</v>
      </c>
      <c r="C19" s="115">
        <f>1.99306*C11</f>
        <v>109.6183</v>
      </c>
      <c r="D19" s="116">
        <f>1.99306*D11</f>
        <v>19.930600000000002</v>
      </c>
      <c r="E19" s="116">
        <f>1.99306*E11</f>
        <v>0</v>
      </c>
      <c r="F19" s="115">
        <f>SUM(B19:E19)</f>
        <v>446.4454400000001</v>
      </c>
    </row>
    <row r="20" spans="1:6" ht="15.75" hidden="1">
      <c r="A20" s="94"/>
      <c r="B20" s="49"/>
      <c r="C20" s="49"/>
      <c r="D20" s="49"/>
      <c r="E20" s="49"/>
      <c r="F20" s="49"/>
    </row>
    <row r="21" spans="1:6" ht="15.75" hidden="1">
      <c r="A21" s="94"/>
      <c r="B21" s="49"/>
      <c r="C21" s="49"/>
      <c r="D21" s="49"/>
      <c r="E21" s="49"/>
      <c r="F21" s="49"/>
    </row>
    <row r="22" spans="1:6" ht="15.75" hidden="1">
      <c r="A22" s="94"/>
      <c r="B22" s="49"/>
      <c r="C22" s="49"/>
      <c r="D22" s="49"/>
      <c r="E22" s="49"/>
      <c r="F22" s="49"/>
    </row>
    <row r="23" spans="1:6" ht="30.75" customHeight="1">
      <c r="A23" s="94" t="s">
        <v>54</v>
      </c>
      <c r="B23" s="49">
        <f>7.30587*B11</f>
        <v>1161.63333</v>
      </c>
      <c r="C23" s="49">
        <f>7.30587*C11</f>
        <v>401.82284999999996</v>
      </c>
      <c r="D23" s="113">
        <f>7.30587*D11</f>
        <v>73.0587</v>
      </c>
      <c r="E23" s="113">
        <f>7.30587*E11</f>
        <v>0</v>
      </c>
      <c r="F23" s="49">
        <f>SUM(B23:E23)</f>
        <v>1636.51488</v>
      </c>
    </row>
    <row r="24" spans="1:6" ht="16.5" customHeight="1">
      <c r="A24" s="96" t="s">
        <v>47</v>
      </c>
      <c r="B24" s="97"/>
      <c r="C24" s="97"/>
      <c r="D24" s="97"/>
      <c r="E24" s="97"/>
      <c r="F24" s="98">
        <v>6816.54</v>
      </c>
    </row>
    <row r="25" spans="1:6" ht="14.25" customHeight="1">
      <c r="A25" s="163"/>
      <c r="B25" s="163"/>
      <c r="C25" s="163"/>
      <c r="D25" s="163"/>
      <c r="E25" s="163"/>
      <c r="F25" s="163"/>
    </row>
    <row r="26" spans="1:6" ht="14.25" customHeight="1">
      <c r="A26" s="99"/>
      <c r="B26" s="100"/>
      <c r="C26" s="100"/>
      <c r="D26" s="100"/>
      <c r="E26" s="100"/>
      <c r="F26" s="100"/>
    </row>
    <row r="27" spans="1:5" ht="15.75">
      <c r="A27" s="101" t="s">
        <v>32</v>
      </c>
      <c r="E27" s="102" t="s">
        <v>33</v>
      </c>
    </row>
    <row r="29" spans="1:6" ht="15">
      <c r="A29"/>
      <c r="B29"/>
      <c r="C29"/>
      <c r="D29"/>
      <c r="E29"/>
      <c r="F29"/>
    </row>
    <row r="33" spans="1:6" ht="15">
      <c r="A33" s="105"/>
      <c r="B33" s="105"/>
      <c r="C33" s="105"/>
      <c r="D33" s="105"/>
      <c r="E33" s="105"/>
      <c r="F33" s="105"/>
    </row>
    <row r="34" spans="1:6" ht="15">
      <c r="A34" s="161"/>
      <c r="B34" s="161"/>
      <c r="C34" s="161"/>
      <c r="D34" s="161"/>
      <c r="E34" s="161"/>
      <c r="F34" s="161"/>
    </row>
    <row r="35" spans="1:6" ht="15">
      <c r="A35" s="161"/>
      <c r="B35" s="161"/>
      <c r="C35" s="161"/>
      <c r="D35" s="161"/>
      <c r="E35" s="161"/>
      <c r="F35" s="161"/>
    </row>
    <row r="36" spans="1:6" ht="15">
      <c r="A36" s="161"/>
      <c r="B36" s="161"/>
      <c r="C36" s="161"/>
      <c r="D36" s="161"/>
      <c r="E36" s="161"/>
      <c r="F36" s="161"/>
    </row>
    <row r="37" spans="1:6" ht="15.75">
      <c r="A37" s="161"/>
      <c r="B37" s="106"/>
      <c r="C37" s="106"/>
      <c r="D37" s="106"/>
      <c r="E37" s="106"/>
      <c r="F37" s="106"/>
    </row>
    <row r="38" spans="1:6" ht="15">
      <c r="A38" s="162"/>
      <c r="B38" s="161"/>
      <c r="C38" s="161"/>
      <c r="D38" s="161"/>
      <c r="E38" s="161"/>
      <c r="F38" s="161"/>
    </row>
    <row r="39" spans="1:6" ht="15">
      <c r="A39" s="162"/>
      <c r="B39" s="161"/>
      <c r="C39" s="161"/>
      <c r="D39" s="161"/>
      <c r="E39" s="161"/>
      <c r="F39" s="161"/>
    </row>
    <row r="40" spans="1:6" ht="15">
      <c r="A40" s="105"/>
      <c r="B40" s="105"/>
      <c r="C40" s="105"/>
      <c r="D40" s="105"/>
      <c r="E40" s="105"/>
      <c r="F40" s="105"/>
    </row>
  </sheetData>
  <sheetProtection selectLockedCells="1" selectUnlockedCells="1"/>
  <mergeCells count="14">
    <mergeCell ref="A34:A37"/>
    <mergeCell ref="B34:B36"/>
    <mergeCell ref="C34:D36"/>
    <mergeCell ref="E34:F36"/>
    <mergeCell ref="A38:A39"/>
    <mergeCell ref="B38:B39"/>
    <mergeCell ref="C38:D39"/>
    <mergeCell ref="E38:F39"/>
    <mergeCell ref="A1:F1"/>
    <mergeCell ref="A3:A4"/>
    <mergeCell ref="B3:B4"/>
    <mergeCell ref="C3:E3"/>
    <mergeCell ref="F3:F4"/>
    <mergeCell ref="A25:F25"/>
  </mergeCells>
  <printOptions/>
  <pageMargins left="0.27569444444444446" right="0.27569444444444446" top="0.19652777777777777" bottom="0.07847222222222222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3" sqref="F23"/>
    </sheetView>
  </sheetViews>
  <sheetFormatPr defaultColWidth="9.421875" defaultRowHeight="15"/>
  <cols>
    <col min="1" max="1" width="71.140625" style="13" customWidth="1"/>
    <col min="2" max="6" width="14.57421875" style="13" customWidth="1"/>
    <col min="7" max="16384" width="9.421875" style="13" customWidth="1"/>
  </cols>
  <sheetData>
    <row r="1" spans="1:6" ht="24.75" customHeight="1">
      <c r="A1" s="157" t="s">
        <v>49</v>
      </c>
      <c r="B1" s="157"/>
      <c r="C1" s="157"/>
      <c r="D1" s="157"/>
      <c r="E1" s="157"/>
      <c r="F1" s="157"/>
    </row>
    <row r="2" spans="1:2" ht="17.25" customHeight="1">
      <c r="A2" s="63"/>
      <c r="B2" s="64"/>
    </row>
    <row r="3" spans="1:6" ht="15.75" customHeight="1">
      <c r="A3" s="159"/>
      <c r="B3" s="160" t="s">
        <v>1</v>
      </c>
      <c r="C3" s="158" t="s">
        <v>2</v>
      </c>
      <c r="D3" s="158"/>
      <c r="E3" s="158"/>
      <c r="F3" s="158" t="s">
        <v>3</v>
      </c>
    </row>
    <row r="4" spans="1:6" ht="51" customHeight="1">
      <c r="A4" s="159"/>
      <c r="B4" s="160"/>
      <c r="C4" s="65" t="s">
        <v>4</v>
      </c>
      <c r="D4" s="65" t="s">
        <v>19</v>
      </c>
      <c r="E4" s="65" t="s">
        <v>20</v>
      </c>
      <c r="F4" s="158"/>
    </row>
    <row r="5" spans="1:6" ht="16.5" customHeight="1">
      <c r="A5" s="67" t="s">
        <v>6</v>
      </c>
      <c r="B5" s="68">
        <f>'III кв. 2009 г.'!C5+'I полугодие 2009'!C6</f>
        <v>527</v>
      </c>
      <c r="C5" s="68">
        <f>'III кв. 2009 г.'!D5+'I полугодие 2009'!D6</f>
        <v>149</v>
      </c>
      <c r="D5" s="117">
        <f>'III кв. 2009 г.'!E5+'I полугодие 2009'!E6</f>
        <v>29</v>
      </c>
      <c r="E5" s="117">
        <f>'III кв. 2009 г.'!F5+'I полугодие 2009'!F6</f>
        <v>4</v>
      </c>
      <c r="F5" s="68">
        <f>SUM(B5:E5)</f>
        <v>709</v>
      </c>
    </row>
    <row r="6" spans="1:6" ht="16.5" customHeight="1">
      <c r="A6" s="67" t="s">
        <v>7</v>
      </c>
      <c r="B6" s="68">
        <f>'I полугодие 2009'!C7+'III кв. 2009 г.'!C6</f>
        <v>7175</v>
      </c>
      <c r="C6" s="68">
        <f>'I полугодие 2009'!D7+'III кв. 2009 г.'!D6</f>
        <v>1220.1</v>
      </c>
      <c r="D6" s="117">
        <f>'I полугодие 2009'!E7+'III кв. 2009 г.'!E6</f>
        <v>850.5</v>
      </c>
      <c r="E6" s="117">
        <f>'I полугодие 2009'!F7+'III кв. 2009 г.'!F6</f>
        <v>734.2</v>
      </c>
      <c r="F6" s="68">
        <f>SUM(B6:E6)</f>
        <v>9979.800000000001</v>
      </c>
    </row>
    <row r="7" spans="1:6" ht="16.5" customHeight="1">
      <c r="A7" s="70" t="s">
        <v>8</v>
      </c>
      <c r="B7" s="72">
        <f>'I полугодие 2009'!C8+'III кв. 2009 г.'!C7</f>
        <v>236</v>
      </c>
      <c r="C7" s="72">
        <f>'I полугодие 2009'!D8+'III кв. 2009 г.'!D7</f>
        <v>10</v>
      </c>
      <c r="D7" s="107">
        <f>'I полугодие 2009'!E8+'III кв. 2009 г.'!E7</f>
        <v>11</v>
      </c>
      <c r="E7" s="107">
        <f>'I полугодие 2009'!F8+'III кв. 2009 г.'!F7</f>
        <v>3</v>
      </c>
      <c r="F7" s="107">
        <f>B7+C7+D7+E7</f>
        <v>260</v>
      </c>
    </row>
    <row r="8" spans="1:6" ht="16.5" customHeight="1">
      <c r="A8" s="47" t="s">
        <v>9</v>
      </c>
      <c r="B8" s="72">
        <f>'I полугодие 2009'!C9+'III кв. 2009 г.'!C8</f>
        <v>3139.9</v>
      </c>
      <c r="C8" s="72">
        <f>'I полугодие 2009'!D9+'III кв. 2009 г.'!D8</f>
        <v>89.89999999999998</v>
      </c>
      <c r="D8" s="107">
        <f>'I полугодие 2009'!E9+'III кв. 2009 г.'!E8</f>
        <v>440</v>
      </c>
      <c r="E8" s="107">
        <f>'I полугодие 2009'!F9+'III кв. 2009 г.'!F8</f>
        <v>574.2</v>
      </c>
      <c r="F8" s="107">
        <f>B8+C8+D8+E8</f>
        <v>4244</v>
      </c>
    </row>
    <row r="9" spans="1:6" ht="16.5" customHeight="1">
      <c r="A9" s="74" t="s">
        <v>21</v>
      </c>
      <c r="B9" s="108">
        <f>'I полугодие 2009'!C10+'III кв. 2009 г.'!C9</f>
        <v>291</v>
      </c>
      <c r="C9" s="108">
        <f>'I полугодие 2009'!D10+'III кв. 2009 г.'!D9</f>
        <v>139</v>
      </c>
      <c r="D9" s="109">
        <f>'I полугодие 2009'!E10+'III кв. 2009 г.'!E9</f>
        <v>18</v>
      </c>
      <c r="E9" s="109">
        <f>'I полугодие 2009'!F10+'III кв. 2009 г.'!F9</f>
        <v>1</v>
      </c>
      <c r="F9" s="109">
        <f>B9+C9+D9+E9</f>
        <v>449</v>
      </c>
    </row>
    <row r="10" spans="1:6" ht="16.5" customHeight="1">
      <c r="A10" s="77" t="s">
        <v>22</v>
      </c>
      <c r="B10" s="108">
        <f>'I полугодие 2009'!C11+'III кв. 2009 г.'!C10</f>
        <v>4035.1</v>
      </c>
      <c r="C10" s="108">
        <f>'I полугодие 2009'!D11+'III кв. 2009 г.'!D10</f>
        <v>1130.2</v>
      </c>
      <c r="D10" s="109">
        <f>'I полугодие 2009'!E11+'III кв. 2009 г.'!E10</f>
        <v>410.5</v>
      </c>
      <c r="E10" s="109">
        <f>'I полугодие 2009'!F11+'III кв. 2009 г.'!F10</f>
        <v>160</v>
      </c>
      <c r="F10" s="109">
        <f>B10+C10+D10+E10</f>
        <v>5735.8</v>
      </c>
    </row>
    <row r="11" spans="1:6" ht="16.5" customHeight="1">
      <c r="A11" s="79" t="s">
        <v>39</v>
      </c>
      <c r="B11" s="81">
        <f>'I полугодие 2009'!C12+'III кв. 2009 г.'!C11</f>
        <v>159</v>
      </c>
      <c r="C11" s="81">
        <f>'I полугодие 2009'!D12+'III кв. 2009 г.'!D11</f>
        <v>55</v>
      </c>
      <c r="D11" s="110">
        <f>'I полугодие 2009'!E12+'III кв. 2009 г.'!E11</f>
        <v>10</v>
      </c>
      <c r="E11" s="110">
        <f>'I полугодие 2009'!F12+'III кв. 2009 г.'!F11</f>
        <v>0</v>
      </c>
      <c r="F11" s="110">
        <f>B11+C11+D11+E11</f>
        <v>224</v>
      </c>
    </row>
    <row r="12" spans="1:6" ht="16.5" customHeight="1">
      <c r="A12" s="79" t="s">
        <v>40</v>
      </c>
      <c r="B12" s="81">
        <v>21</v>
      </c>
      <c r="C12" s="81">
        <v>13</v>
      </c>
      <c r="D12" s="81">
        <v>2</v>
      </c>
      <c r="E12" s="81">
        <v>0</v>
      </c>
      <c r="F12" s="81">
        <f>B12+C12+D12</f>
        <v>36</v>
      </c>
    </row>
    <row r="13" spans="1:6" ht="16.5" customHeight="1">
      <c r="A13" s="83" t="s">
        <v>24</v>
      </c>
      <c r="B13" s="85">
        <f>'I полугодие 2009'!C13+'III кв. 2009 г.'!C13</f>
        <v>1321.1999999999998</v>
      </c>
      <c r="C13" s="85">
        <f>'I полугодие 2009'!D13+'III кв. 2009 г.'!D13</f>
        <v>429.20000000000005</v>
      </c>
      <c r="D13" s="111">
        <f>'I полугодие 2009'!E13+'III кв. 2009 г.'!E13</f>
        <v>122</v>
      </c>
      <c r="E13" s="111">
        <f>'I полугодие 2009'!F13+'III кв. 2009 г.'!F13</f>
        <v>0</v>
      </c>
      <c r="F13" s="111">
        <f>B13+C13+D13+E13</f>
        <v>1872.3999999999999</v>
      </c>
    </row>
    <row r="14" spans="1:6" ht="16.5" customHeight="1">
      <c r="A14" s="83" t="s">
        <v>41</v>
      </c>
      <c r="B14" s="85">
        <v>226</v>
      </c>
      <c r="C14" s="85">
        <v>103.5</v>
      </c>
      <c r="D14" s="85">
        <v>35.5</v>
      </c>
      <c r="E14" s="85">
        <v>0</v>
      </c>
      <c r="F14" s="85">
        <f>SUM(B14:E14)</f>
        <v>365</v>
      </c>
    </row>
    <row r="15" spans="1:6" s="56" customFormat="1" ht="16.5" customHeight="1">
      <c r="A15" s="87" t="s">
        <v>42</v>
      </c>
      <c r="B15" s="89"/>
      <c r="C15" s="89"/>
      <c r="D15" s="112"/>
      <c r="E15" s="112"/>
      <c r="F15" s="112">
        <f>'I полугодие 2009'!G14*1.18+'III кв. 2009 г.'!G15</f>
        <v>6143.327199999999</v>
      </c>
    </row>
    <row r="16" spans="1:6" ht="16.5" customHeight="1">
      <c r="A16" s="91" t="s">
        <v>50</v>
      </c>
      <c r="B16" s="92">
        <f>SUM(B17:B24)</f>
        <v>2987.3160000000003</v>
      </c>
      <c r="C16" s="92">
        <f>SUM(C17:C24)</f>
        <v>1346.38</v>
      </c>
      <c r="D16" s="92">
        <f>SUM(D17:D24)</f>
        <v>190.596</v>
      </c>
      <c r="E16" s="92">
        <f>E17+E18+E22+E24</f>
        <v>1447.53954</v>
      </c>
      <c r="F16" s="92">
        <f>F17+F18+F22+F24</f>
        <v>12788.37294</v>
      </c>
    </row>
    <row r="17" spans="1:6" ht="45.75" customHeight="1">
      <c r="A17" s="47" t="s">
        <v>51</v>
      </c>
      <c r="B17" s="49">
        <f>'I полугодие 2009'!C16+'III кв. 2009 г.'!C17</f>
        <v>1657.731</v>
      </c>
      <c r="C17" s="49">
        <f>'I полугодие 2009'!D16+'III кв. 2009 г.'!D17</f>
        <v>790.115</v>
      </c>
      <c r="D17" s="113">
        <f>'I полугодие 2009'!E16+'III кв. 2009 г.'!E17</f>
        <v>99.918</v>
      </c>
      <c r="E17" s="49">
        <f>'I полугодие 2009'!F16+'III кв. 2009 г.'!F17</f>
        <v>1447.53954</v>
      </c>
      <c r="F17" s="49">
        <f>SUM(B17:E17)</f>
        <v>3995.30354</v>
      </c>
    </row>
    <row r="18" spans="1:6" ht="16.5" customHeight="1">
      <c r="A18" s="114" t="s">
        <v>52</v>
      </c>
      <c r="B18" s="115">
        <f>'III кв. 2009 г.'!C18</f>
        <v>291.504</v>
      </c>
      <c r="C18" s="115">
        <f>'III кв. 2009 г.'!D18</f>
        <v>182.19</v>
      </c>
      <c r="D18" s="116">
        <f>'III кв. 2009 г.'!E18</f>
        <v>24.292</v>
      </c>
      <c r="E18" s="116">
        <f>'III кв. 2009 г.'!F18</f>
        <v>0</v>
      </c>
      <c r="F18" s="115">
        <f>SUM(B18:E18)</f>
        <v>497.986</v>
      </c>
    </row>
    <row r="19" spans="1:6" ht="15.75" hidden="1">
      <c r="A19" s="94"/>
      <c r="B19" s="49"/>
      <c r="C19" s="49"/>
      <c r="D19" s="49"/>
      <c r="E19" s="49"/>
      <c r="F19" s="49"/>
    </row>
    <row r="20" spans="1:6" ht="15.75" hidden="1">
      <c r="A20" s="94"/>
      <c r="B20" s="49"/>
      <c r="C20" s="49"/>
      <c r="D20" s="49"/>
      <c r="E20" s="49"/>
      <c r="F20" s="49"/>
    </row>
    <row r="21" spans="1:6" ht="15.75" hidden="1">
      <c r="A21" s="94"/>
      <c r="B21" s="49"/>
      <c r="C21" s="49"/>
      <c r="D21" s="49"/>
      <c r="E21" s="49"/>
      <c r="F21" s="49"/>
    </row>
    <row r="22" spans="1:6" ht="30.75" customHeight="1">
      <c r="A22" s="94" t="s">
        <v>54</v>
      </c>
      <c r="B22" s="49">
        <f>'I полугодие 2009'!C18+'III кв. 2009 г.'!C22</f>
        <v>1038.0810000000001</v>
      </c>
      <c r="C22" s="49">
        <f>'I полугодие 2009'!D18+'III кв. 2009 г.'!D22</f>
        <v>374.075</v>
      </c>
      <c r="D22" s="113">
        <f>'I полугодие 2009'!E18+'III кв. 2009 г.'!E22</f>
        <v>66.386</v>
      </c>
      <c r="E22" s="113">
        <f>'I полугодие 2009'!F18+'III кв. 2009 г.'!F22</f>
        <v>0</v>
      </c>
      <c r="F22" s="49">
        <f>SUM(B22:E22)</f>
        <v>1478.5420000000001</v>
      </c>
    </row>
    <row r="23" spans="1:6" ht="30.75" customHeight="1">
      <c r="A23" s="118" t="s">
        <v>30</v>
      </c>
      <c r="B23" s="49"/>
      <c r="C23" s="49"/>
      <c r="D23" s="113"/>
      <c r="E23" s="113"/>
      <c r="F23" s="49">
        <f>'I полугодие 2009'!G19+'III кв. 2009 г.'!G23</f>
        <v>6702.705540000001</v>
      </c>
    </row>
    <row r="24" spans="1:6" ht="16.5" customHeight="1">
      <c r="A24" s="96" t="s">
        <v>47</v>
      </c>
      <c r="B24" s="97"/>
      <c r="C24" s="97"/>
      <c r="D24" s="97"/>
      <c r="E24" s="97"/>
      <c r="F24" s="98">
        <f>'I полугодие 2009'!G20*1.18+'III кв. 2009 г.'!G24</f>
        <v>6816.541399999999</v>
      </c>
    </row>
    <row r="25" spans="1:6" ht="14.25" customHeight="1">
      <c r="A25" s="163"/>
      <c r="B25" s="163"/>
      <c r="C25" s="163"/>
      <c r="D25" s="163"/>
      <c r="E25" s="163"/>
      <c r="F25" s="163"/>
    </row>
    <row r="26" spans="1:6" ht="14.25" customHeight="1">
      <c r="A26" s="99"/>
      <c r="B26" s="100"/>
      <c r="C26" s="100"/>
      <c r="D26" s="100"/>
      <c r="E26" s="100"/>
      <c r="F26" s="100"/>
    </row>
    <row r="27" spans="1:5" ht="15.75">
      <c r="A27" s="101" t="s">
        <v>32</v>
      </c>
      <c r="E27" s="102" t="s">
        <v>33</v>
      </c>
    </row>
    <row r="29" spans="1:6" ht="15.75">
      <c r="A29" s="103" t="s">
        <v>34</v>
      </c>
      <c r="B29"/>
      <c r="C29"/>
      <c r="D29" s="11"/>
      <c r="E29"/>
      <c r="F29"/>
    </row>
    <row r="30" spans="1:5" ht="15.75">
      <c r="A30" s="119" t="s">
        <v>35</v>
      </c>
      <c r="B30"/>
      <c r="C30"/>
      <c r="D30" s="11"/>
      <c r="E30" s="11" t="s">
        <v>36</v>
      </c>
    </row>
    <row r="33" spans="1:6" ht="15">
      <c r="A33" s="105"/>
      <c r="B33" s="105"/>
      <c r="C33" s="105"/>
      <c r="D33" s="105"/>
      <c r="E33" s="105"/>
      <c r="F33" s="105"/>
    </row>
    <row r="34" spans="1:6" ht="15">
      <c r="A34" s="161"/>
      <c r="B34" s="161"/>
      <c r="C34" s="161"/>
      <c r="D34" s="161"/>
      <c r="E34" s="161"/>
      <c r="F34" s="161"/>
    </row>
    <row r="35" spans="1:6" ht="15">
      <c r="A35" s="161"/>
      <c r="B35" s="161"/>
      <c r="C35" s="161"/>
      <c r="D35" s="161"/>
      <c r="E35" s="161"/>
      <c r="F35" s="161"/>
    </row>
    <row r="36" spans="1:6" ht="15">
      <c r="A36" s="161"/>
      <c r="B36" s="161"/>
      <c r="C36" s="161"/>
      <c r="D36" s="161"/>
      <c r="E36" s="161"/>
      <c r="F36" s="161"/>
    </row>
    <row r="37" spans="1:6" ht="15.75">
      <c r="A37" s="161"/>
      <c r="B37" s="106"/>
      <c r="C37" s="106"/>
      <c r="D37" s="106"/>
      <c r="E37" s="106"/>
      <c r="F37" s="106"/>
    </row>
    <row r="38" spans="1:6" ht="15">
      <c r="A38" s="162"/>
      <c r="B38" s="161"/>
      <c r="C38" s="161"/>
      <c r="D38" s="161"/>
      <c r="E38" s="161"/>
      <c r="F38" s="161"/>
    </row>
    <row r="39" spans="1:6" ht="15">
      <c r="A39" s="162"/>
      <c r="B39" s="161"/>
      <c r="C39" s="161"/>
      <c r="D39" s="161"/>
      <c r="E39" s="161"/>
      <c r="F39" s="161"/>
    </row>
    <row r="40" spans="1:6" ht="15">
      <c r="A40" s="105"/>
      <c r="B40" s="105"/>
      <c r="C40" s="105"/>
      <c r="D40" s="105"/>
      <c r="E40" s="105"/>
      <c r="F40" s="105"/>
    </row>
  </sheetData>
  <sheetProtection selectLockedCells="1" selectUnlockedCells="1"/>
  <mergeCells count="14">
    <mergeCell ref="A34:A37"/>
    <mergeCell ref="B34:B36"/>
    <mergeCell ref="C34:D36"/>
    <mergeCell ref="E34:F36"/>
    <mergeCell ref="A38:A39"/>
    <mergeCell ref="B38:B39"/>
    <mergeCell ref="C38:D39"/>
    <mergeCell ref="E38:F39"/>
    <mergeCell ref="A1:F1"/>
    <mergeCell ref="A3:A4"/>
    <mergeCell ref="B3:B4"/>
    <mergeCell ref="C3:E3"/>
    <mergeCell ref="F3:F4"/>
    <mergeCell ref="A25:F25"/>
  </mergeCells>
  <printOptions/>
  <pageMargins left="0.27569444444444446" right="0.27569444444444446" top="0.19652777777777777" bottom="0.07847222222222222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30" sqref="G30"/>
    </sheetView>
  </sheetViews>
  <sheetFormatPr defaultColWidth="9.421875" defaultRowHeight="15"/>
  <cols>
    <col min="1" max="1" width="5.57421875" style="0" customWidth="1"/>
    <col min="2" max="2" width="71.140625" style="13" customWidth="1"/>
    <col min="3" max="5" width="14.57421875" style="13" customWidth="1"/>
    <col min="6" max="6" width="10.8515625" style="13" customWidth="1"/>
    <col min="7" max="7" width="11.00390625" style="13" customWidth="1"/>
    <col min="8" max="8" width="9.421875" style="13" customWidth="1"/>
    <col min="9" max="9" width="11.140625" style="13" customWidth="1"/>
    <col min="10" max="10" width="10.8515625" style="13" customWidth="1"/>
    <col min="11" max="11" width="10.421875" style="13" customWidth="1"/>
    <col min="12" max="16384" width="9.421875" style="13" customWidth="1"/>
  </cols>
  <sheetData>
    <row r="1" spans="2:7" ht="19.5" customHeight="1">
      <c r="B1" s="143" t="s">
        <v>55</v>
      </c>
      <c r="C1" s="143"/>
      <c r="D1" s="143"/>
      <c r="E1" s="143"/>
      <c r="F1" s="143"/>
      <c r="G1" s="143"/>
    </row>
    <row r="2" spans="1:7" ht="15.75" customHeight="1">
      <c r="A2" s="158"/>
      <c r="B2" s="159"/>
      <c r="C2" s="160" t="s">
        <v>1</v>
      </c>
      <c r="D2" s="158" t="s">
        <v>2</v>
      </c>
      <c r="E2" s="158"/>
      <c r="F2" s="158"/>
      <c r="G2" s="158" t="s">
        <v>3</v>
      </c>
    </row>
    <row r="3" spans="1:7" ht="51" customHeight="1">
      <c r="A3" s="158"/>
      <c r="B3" s="158"/>
      <c r="C3" s="160"/>
      <c r="D3" s="65" t="s">
        <v>4</v>
      </c>
      <c r="E3" s="65" t="s">
        <v>19</v>
      </c>
      <c r="F3" s="65" t="s">
        <v>56</v>
      </c>
      <c r="G3" s="158"/>
    </row>
    <row r="4" spans="1:7" ht="16.5" customHeight="1">
      <c r="A4" s="66">
        <v>1</v>
      </c>
      <c r="B4" s="67" t="s">
        <v>6</v>
      </c>
      <c r="C4" s="66">
        <v>165</v>
      </c>
      <c r="D4" s="66">
        <v>85</v>
      </c>
      <c r="E4" s="66">
        <v>29</v>
      </c>
      <c r="F4" s="66">
        <v>14</v>
      </c>
      <c r="G4" s="68">
        <f aca="true" t="shared" si="0" ref="G4:G13">C4+D4+E4+F4</f>
        <v>293</v>
      </c>
    </row>
    <row r="5" spans="1:7" ht="16.5" customHeight="1">
      <c r="A5" s="66">
        <v>2</v>
      </c>
      <c r="B5" s="67" t="s">
        <v>7</v>
      </c>
      <c r="C5" s="66">
        <v>2177</v>
      </c>
      <c r="D5" s="66">
        <v>1065.7</v>
      </c>
      <c r="E5" s="66">
        <f>1653.1+91</f>
        <v>1744.1</v>
      </c>
      <c r="F5" s="66">
        <v>2104.2</v>
      </c>
      <c r="G5" s="68">
        <f t="shared" si="0"/>
        <v>7090.999999999999</v>
      </c>
    </row>
    <row r="6" spans="1:7" ht="16.5" customHeight="1">
      <c r="A6" s="69">
        <v>3</v>
      </c>
      <c r="B6" s="70" t="s">
        <v>8</v>
      </c>
      <c r="C6" s="71">
        <v>0</v>
      </c>
      <c r="D6" s="71">
        <v>0</v>
      </c>
      <c r="E6" s="120">
        <v>0</v>
      </c>
      <c r="F6" s="120">
        <v>0</v>
      </c>
      <c r="G6" s="107">
        <f t="shared" si="0"/>
        <v>0</v>
      </c>
    </row>
    <row r="7" spans="1:7" ht="16.5" customHeight="1">
      <c r="A7" s="69">
        <v>4</v>
      </c>
      <c r="B7" s="47" t="s">
        <v>9</v>
      </c>
      <c r="C7" s="71">
        <v>0</v>
      </c>
      <c r="D7" s="71">
        <v>0</v>
      </c>
      <c r="E7" s="120">
        <v>0</v>
      </c>
      <c r="F7" s="120">
        <v>0</v>
      </c>
      <c r="G7" s="107">
        <f t="shared" si="0"/>
        <v>0</v>
      </c>
    </row>
    <row r="8" spans="1:11" ht="16.5" customHeight="1">
      <c r="A8" s="75">
        <v>5</v>
      </c>
      <c r="B8" s="74" t="s">
        <v>21</v>
      </c>
      <c r="C8" s="73">
        <f>159+1</f>
        <v>160</v>
      </c>
      <c r="D8" s="73">
        <v>68</v>
      </c>
      <c r="E8" s="121">
        <f>6+6</f>
        <v>12</v>
      </c>
      <c r="F8" s="121">
        <v>5</v>
      </c>
      <c r="G8" s="109">
        <f t="shared" si="0"/>
        <v>245</v>
      </c>
      <c r="H8" s="13">
        <f>87450+3300</f>
        <v>90750</v>
      </c>
      <c r="I8" s="13">
        <f>36850+5500</f>
        <v>42350</v>
      </c>
      <c r="J8" s="13">
        <f>305630.82+1276777.73</f>
        <v>1582408.55</v>
      </c>
      <c r="K8" s="13">
        <v>15878540.5</v>
      </c>
    </row>
    <row r="9" spans="1:7" ht="16.5" customHeight="1">
      <c r="A9" s="75">
        <v>6</v>
      </c>
      <c r="B9" s="77" t="s">
        <v>22</v>
      </c>
      <c r="C9" s="73">
        <f>1639.2+60</f>
        <v>1699.2</v>
      </c>
      <c r="D9" s="73">
        <f>367.5+10</f>
        <v>377.5</v>
      </c>
      <c r="E9" s="121">
        <f>54+195.1</f>
        <v>249.1</v>
      </c>
      <c r="F9" s="121">
        <v>1533.4</v>
      </c>
      <c r="G9" s="109">
        <f t="shared" si="0"/>
        <v>3859.2</v>
      </c>
    </row>
    <row r="10" spans="1:11" ht="16.5" customHeight="1">
      <c r="A10" s="78">
        <v>7</v>
      </c>
      <c r="B10" s="79" t="s">
        <v>39</v>
      </c>
      <c r="C10" s="80">
        <f>40+C11</f>
        <v>89</v>
      </c>
      <c r="D10" s="80">
        <f>16+D11</f>
        <v>38</v>
      </c>
      <c r="E10" s="122">
        <f>2+E11</f>
        <v>8</v>
      </c>
      <c r="F10" s="122">
        <f>1+F11</f>
        <v>1</v>
      </c>
      <c r="G10" s="110">
        <f t="shared" si="0"/>
        <v>136</v>
      </c>
      <c r="H10" s="13">
        <v>22000</v>
      </c>
      <c r="I10" s="13">
        <v>8800</v>
      </c>
      <c r="J10" s="13">
        <v>101876.94</v>
      </c>
      <c r="K10" s="13">
        <v>848974.5</v>
      </c>
    </row>
    <row r="11" spans="1:10" ht="16.5" customHeight="1">
      <c r="A11" s="78">
        <v>8</v>
      </c>
      <c r="B11" s="79" t="s">
        <v>57</v>
      </c>
      <c r="C11" s="80">
        <v>49</v>
      </c>
      <c r="D11" s="80">
        <f>21+1</f>
        <v>22</v>
      </c>
      <c r="E11" s="80">
        <f>2+4</f>
        <v>6</v>
      </c>
      <c r="F11" s="80">
        <v>0</v>
      </c>
      <c r="G11" s="81">
        <f t="shared" si="0"/>
        <v>77</v>
      </c>
      <c r="H11" s="13">
        <v>26950</v>
      </c>
      <c r="I11" s="13">
        <f>11550+1100</f>
        <v>12650</v>
      </c>
      <c r="J11" s="13">
        <f>152815.41+546904.53</f>
        <v>699719.9400000001</v>
      </c>
    </row>
    <row r="12" spans="1:11" ht="16.5" customHeight="1">
      <c r="A12" s="82">
        <v>9</v>
      </c>
      <c r="B12" s="83" t="s">
        <v>24</v>
      </c>
      <c r="C12" s="84">
        <f>415.5+C13</f>
        <v>1059.6</v>
      </c>
      <c r="D12" s="84">
        <f>84.3+D13</f>
        <v>274.2</v>
      </c>
      <c r="E12" s="123">
        <f>18+E13</f>
        <v>142</v>
      </c>
      <c r="F12" s="123">
        <f>150+F13</f>
        <v>150</v>
      </c>
      <c r="G12" s="111">
        <f t="shared" si="0"/>
        <v>1625.8</v>
      </c>
      <c r="K12"/>
    </row>
    <row r="13" spans="1:7" ht="16.5" customHeight="1">
      <c r="A13" s="82">
        <v>10</v>
      </c>
      <c r="B13" s="83" t="s">
        <v>58</v>
      </c>
      <c r="C13" s="84">
        <v>644.1</v>
      </c>
      <c r="D13" s="84">
        <f>174.9+15</f>
        <v>189.9</v>
      </c>
      <c r="E13" s="84">
        <f>27+97</f>
        <v>124</v>
      </c>
      <c r="F13" s="84">
        <v>0</v>
      </c>
      <c r="G13" s="85">
        <f t="shared" si="0"/>
        <v>958</v>
      </c>
    </row>
    <row r="14" spans="1:7" s="56" customFormat="1" ht="16.5" customHeight="1">
      <c r="A14" s="124">
        <v>11</v>
      </c>
      <c r="B14" s="125" t="s">
        <v>42</v>
      </c>
      <c r="C14" s="126"/>
      <c r="D14" s="126"/>
      <c r="E14" s="127"/>
      <c r="F14" s="127"/>
      <c r="G14" s="128">
        <v>20018.03</v>
      </c>
    </row>
    <row r="15" spans="1:7" ht="30" customHeight="1">
      <c r="A15" s="129">
        <v>12</v>
      </c>
      <c r="B15" s="130" t="s">
        <v>43</v>
      </c>
      <c r="C15" s="131"/>
      <c r="D15" s="131"/>
      <c r="E15" s="131"/>
      <c r="F15" s="131"/>
      <c r="G15" s="132">
        <f>G22+G23</f>
        <v>8549.713</v>
      </c>
    </row>
    <row r="16" spans="1:7" ht="45.75" customHeight="1">
      <c r="A16" s="69">
        <v>13</v>
      </c>
      <c r="B16" s="47" t="s">
        <v>44</v>
      </c>
      <c r="C16" s="48">
        <f>6.179*C8</f>
        <v>988.6400000000001</v>
      </c>
      <c r="D16" s="48">
        <f>6.179*D8</f>
        <v>420.172</v>
      </c>
      <c r="E16" s="44">
        <f>6.179*E8</f>
        <v>74.148</v>
      </c>
      <c r="F16" s="48">
        <f>6.179*F8+303.08</f>
        <v>333.97499999999997</v>
      </c>
      <c r="G16" s="49">
        <f>C16+D16+E16+F16</f>
        <v>1816.935</v>
      </c>
    </row>
    <row r="17" spans="1:7" ht="16.5" customHeight="1">
      <c r="A17" s="69">
        <v>14</v>
      </c>
      <c r="B17" s="47" t="s">
        <v>45</v>
      </c>
      <c r="C17" s="48">
        <f>6.073*C10</f>
        <v>540.4970000000001</v>
      </c>
      <c r="D17" s="48">
        <f>6.073*D10</f>
        <v>230.774</v>
      </c>
      <c r="E17" s="44">
        <f>6.073*E10</f>
        <v>48.584</v>
      </c>
      <c r="F17" s="44">
        <f>6.073*F10</f>
        <v>6.073</v>
      </c>
      <c r="G17" s="49">
        <f>C17+D17+E17+F17</f>
        <v>825.928</v>
      </c>
    </row>
    <row r="18" spans="1:7" ht="15.75" hidden="1">
      <c r="A18" s="69"/>
      <c r="B18" s="94"/>
      <c r="C18" s="48"/>
      <c r="D18" s="48"/>
      <c r="E18" s="48"/>
      <c r="F18" s="48"/>
      <c r="G18" s="49"/>
    </row>
    <row r="19" spans="1:7" ht="15.75" hidden="1">
      <c r="A19" s="69"/>
      <c r="B19" s="94"/>
      <c r="C19" s="48"/>
      <c r="D19" s="48"/>
      <c r="E19" s="48"/>
      <c r="F19" s="48"/>
      <c r="G19" s="49"/>
    </row>
    <row r="20" spans="1:7" ht="15.75" hidden="1">
      <c r="A20" s="69"/>
      <c r="B20" s="94"/>
      <c r="C20" s="48"/>
      <c r="D20" s="48"/>
      <c r="E20" s="48"/>
      <c r="F20" s="48"/>
      <c r="G20" s="49"/>
    </row>
    <row r="21" spans="1:7" ht="45.75" customHeight="1">
      <c r="A21" s="69">
        <v>15</v>
      </c>
      <c r="B21" s="94" t="s">
        <v>46</v>
      </c>
      <c r="C21" s="48">
        <f>7.31*C10</f>
        <v>650.5899999999999</v>
      </c>
      <c r="D21" s="48">
        <f>7.31*D10</f>
        <v>277.78</v>
      </c>
      <c r="E21" s="44">
        <f>7.31*E10</f>
        <v>58.48</v>
      </c>
      <c r="F21" s="44">
        <f>7.31*F10</f>
        <v>7.31</v>
      </c>
      <c r="G21" s="49">
        <f>C21+D21+E21+F21</f>
        <v>994.1599999999999</v>
      </c>
    </row>
    <row r="22" spans="1:7" ht="30.75" customHeight="1">
      <c r="A22" s="78">
        <v>16</v>
      </c>
      <c r="B22" s="30" t="s">
        <v>59</v>
      </c>
      <c r="C22" s="133"/>
      <c r="D22" s="133"/>
      <c r="E22" s="134"/>
      <c r="F22" s="134"/>
      <c r="G22" s="133">
        <f>G16+G17+G21</f>
        <v>3637.0229999999997</v>
      </c>
    </row>
    <row r="23" spans="1:7" ht="16.5" customHeight="1">
      <c r="A23" s="95">
        <v>17</v>
      </c>
      <c r="B23" s="96" t="s">
        <v>47</v>
      </c>
      <c r="C23" s="97"/>
      <c r="D23" s="97"/>
      <c r="E23" s="97"/>
      <c r="F23" s="97"/>
      <c r="G23" s="98">
        <v>4912.69</v>
      </c>
    </row>
    <row r="24" spans="2:7" ht="14.25" customHeight="1">
      <c r="B24" s="99"/>
      <c r="C24" s="100"/>
      <c r="D24" s="100"/>
      <c r="E24" s="100"/>
      <c r="F24" s="100"/>
      <c r="G24" s="100"/>
    </row>
    <row r="25" spans="2:6" ht="15.75">
      <c r="B25" s="101" t="s">
        <v>32</v>
      </c>
      <c r="F25" s="102" t="s">
        <v>33</v>
      </c>
    </row>
    <row r="27" spans="2:7" ht="15.75">
      <c r="B27" s="103" t="s">
        <v>60</v>
      </c>
      <c r="C27" s="104"/>
      <c r="D27" s="104"/>
      <c r="E27" s="11"/>
      <c r="F27" s="11" t="s">
        <v>36</v>
      </c>
      <c r="G27"/>
    </row>
    <row r="28" spans="2:6" ht="15.75">
      <c r="B28" s="103"/>
      <c r="C28" s="104"/>
      <c r="D28" s="104"/>
      <c r="E28" s="11"/>
      <c r="F28" s="11"/>
    </row>
    <row r="29" spans="2:6" ht="15.75">
      <c r="B29" s="106" t="s">
        <v>61</v>
      </c>
      <c r="C29" s="105"/>
      <c r="D29" s="105"/>
      <c r="E29" s="105"/>
      <c r="F29" s="135" t="s">
        <v>62</v>
      </c>
    </row>
    <row r="31" spans="2:7" ht="15">
      <c r="B31" s="105"/>
      <c r="C31" s="105"/>
      <c r="D31" s="105"/>
      <c r="E31" s="105"/>
      <c r="F31" s="105"/>
      <c r="G31" s="105"/>
    </row>
    <row r="32" spans="2:7" ht="15">
      <c r="B32" s="161"/>
      <c r="C32" s="161"/>
      <c r="D32" s="161"/>
      <c r="E32" s="161"/>
      <c r="F32" s="161"/>
      <c r="G32" s="161"/>
    </row>
    <row r="33" spans="2:7" ht="15">
      <c r="B33" s="161"/>
      <c r="C33" s="161"/>
      <c r="D33" s="161"/>
      <c r="E33" s="161"/>
      <c r="F33" s="161"/>
      <c r="G33" s="161"/>
    </row>
    <row r="34" spans="2:7" ht="15">
      <c r="B34" s="161"/>
      <c r="C34" s="161"/>
      <c r="D34" s="161"/>
      <c r="E34" s="161"/>
      <c r="F34" s="161"/>
      <c r="G34" s="161"/>
    </row>
    <row r="35" spans="2:7" ht="15.75">
      <c r="B35" s="161"/>
      <c r="C35" s="106"/>
      <c r="D35" s="106"/>
      <c r="E35" s="106"/>
      <c r="F35" s="106"/>
      <c r="G35" s="106"/>
    </row>
    <row r="36" spans="2:7" ht="15">
      <c r="B36" s="162"/>
      <c r="C36" s="161"/>
      <c r="D36" s="161"/>
      <c r="E36" s="161"/>
      <c r="F36" s="161"/>
      <c r="G36" s="161"/>
    </row>
    <row r="37" spans="2:7" ht="15">
      <c r="B37" s="162"/>
      <c r="C37" s="161"/>
      <c r="D37" s="161"/>
      <c r="E37" s="161"/>
      <c r="F37" s="161"/>
      <c r="G37" s="161"/>
    </row>
    <row r="38" spans="2:7" ht="15">
      <c r="B38" s="105"/>
      <c r="C38" s="105"/>
      <c r="D38" s="105"/>
      <c r="E38" s="105"/>
      <c r="F38" s="105"/>
      <c r="G38" s="105"/>
    </row>
  </sheetData>
  <sheetProtection selectLockedCells="1" selectUnlockedCells="1"/>
  <mergeCells count="14">
    <mergeCell ref="B32:B35"/>
    <mergeCell ref="C32:C34"/>
    <mergeCell ref="D32:E34"/>
    <mergeCell ref="F32:G34"/>
    <mergeCell ref="B36:B37"/>
    <mergeCell ref="C36:C37"/>
    <mergeCell ref="D36:E37"/>
    <mergeCell ref="F36:G37"/>
    <mergeCell ref="B1:G1"/>
    <mergeCell ref="A2:A3"/>
    <mergeCell ref="B2:B3"/>
    <mergeCell ref="C2:C3"/>
    <mergeCell ref="D2:F2"/>
    <mergeCell ref="G2:G3"/>
  </mergeCells>
  <printOptions/>
  <pageMargins left="0.27569444444444446" right="0.27569444444444446" top="0.19652777777777777" bottom="0.07847222222222222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1" sqref="B1"/>
    </sheetView>
  </sheetViews>
  <sheetFormatPr defaultColWidth="9.421875" defaultRowHeight="15"/>
  <cols>
    <col min="1" max="1" width="4.57421875" style="0" customWidth="1"/>
    <col min="2" max="2" width="71.140625" style="13" customWidth="1"/>
    <col min="3" max="5" width="14.57421875" style="13" customWidth="1"/>
    <col min="6" max="6" width="9.7109375" style="13" customWidth="1"/>
    <col min="7" max="7" width="12.28125" style="13" customWidth="1"/>
    <col min="8" max="8" width="9.421875" style="13" customWidth="1"/>
    <col min="9" max="9" width="11.140625" style="13" customWidth="1"/>
    <col min="10" max="10" width="10.8515625" style="13" customWidth="1"/>
    <col min="11" max="11" width="10.421875" style="13" customWidth="1"/>
    <col min="12" max="16384" width="9.421875" style="13" customWidth="1"/>
  </cols>
  <sheetData>
    <row r="1" spans="2:7" ht="24.75" customHeight="1">
      <c r="B1" s="143" t="s">
        <v>63</v>
      </c>
      <c r="C1" s="143"/>
      <c r="D1" s="143"/>
      <c r="E1" s="143"/>
      <c r="F1" s="143"/>
      <c r="G1" s="143"/>
    </row>
    <row r="2" spans="1:7" ht="15.75" customHeight="1">
      <c r="A2" s="164"/>
      <c r="B2" s="159"/>
      <c r="C2" s="160" t="s">
        <v>1</v>
      </c>
      <c r="D2" s="158" t="s">
        <v>2</v>
      </c>
      <c r="E2" s="158"/>
      <c r="F2" s="158"/>
      <c r="G2" s="158" t="s">
        <v>3</v>
      </c>
    </row>
    <row r="3" spans="1:7" ht="51" customHeight="1">
      <c r="A3" s="164"/>
      <c r="B3" s="159"/>
      <c r="C3" s="160"/>
      <c r="D3" s="65" t="s">
        <v>4</v>
      </c>
      <c r="E3" s="65" t="s">
        <v>19</v>
      </c>
      <c r="F3" s="65" t="s">
        <v>64</v>
      </c>
      <c r="G3" s="158"/>
    </row>
    <row r="4" spans="1:7" ht="16.5" customHeight="1">
      <c r="A4" s="136">
        <v>1</v>
      </c>
      <c r="B4" s="67" t="s">
        <v>6</v>
      </c>
      <c r="C4" s="66">
        <f>'I полугодие 2009'!C6+'III кв. 2009 г.'!C5+'IV кв. 2009 г.'!C4</f>
        <v>692</v>
      </c>
      <c r="D4" s="66">
        <f>'I полугодие 2009'!D6+'III кв. 2009 г.'!D5+'IV кв. 2009 г.'!D4</f>
        <v>234</v>
      </c>
      <c r="E4" s="20">
        <f>'I полугодие 2009'!E6+'III кв. 2009 г.'!E5+'IV кв. 2009 г.'!E4</f>
        <v>58</v>
      </c>
      <c r="F4" s="20">
        <f>'I полугодие 2009'!F6+'III кв. 2009 г.'!F5+'IV кв. 2009 г.'!F4</f>
        <v>18</v>
      </c>
      <c r="G4" s="68">
        <f aca="true" t="shared" si="0" ref="G4:G11">C4+D4+E4+F4</f>
        <v>1002</v>
      </c>
    </row>
    <row r="5" spans="1:7" ht="16.5" customHeight="1">
      <c r="A5" s="136">
        <v>2</v>
      </c>
      <c r="B5" s="67" t="s">
        <v>7</v>
      </c>
      <c r="C5" s="66">
        <f>'I полугодие 2009'!C7+'III кв. 2009 г.'!C6+'IV кв. 2009 г.'!C5</f>
        <v>9352</v>
      </c>
      <c r="D5" s="66">
        <f>'I полугодие 2009'!D7+'III кв. 2009 г.'!D6+'IV кв. 2009 г.'!D5</f>
        <v>2285.8</v>
      </c>
      <c r="E5" s="20">
        <f>'I полугодие 2009'!E7+'III кв. 2009 г.'!E6+'IV кв. 2009 г.'!E5</f>
        <v>2594.6</v>
      </c>
      <c r="F5" s="20">
        <f>'I полугодие 2009'!F7+'III кв. 2009 г.'!F6+'IV кв. 2009 г.'!F5</f>
        <v>2838.3999999999996</v>
      </c>
      <c r="G5" s="68">
        <f t="shared" si="0"/>
        <v>17070.8</v>
      </c>
    </row>
    <row r="6" spans="1:7" ht="16.5" customHeight="1">
      <c r="A6" s="44">
        <v>3</v>
      </c>
      <c r="B6" s="70" t="s">
        <v>8</v>
      </c>
      <c r="C6" s="71">
        <f>'I полугодие 2009'!C8+'III кв. 2009 г.'!C7+'IV кв. 2009 г.'!C6</f>
        <v>236</v>
      </c>
      <c r="D6" s="71">
        <f>'I полугодие 2009'!D8+'III кв. 2009 г.'!D7+'IV кв. 2009 г.'!D6</f>
        <v>10</v>
      </c>
      <c r="E6" s="120">
        <f>'I полугодие 2009'!E8+'III кв. 2009 г.'!E7+'IV кв. 2009 г.'!E6</f>
        <v>11</v>
      </c>
      <c r="F6" s="120">
        <f>'I полугодие 2009'!F8+'III кв. 2009 г.'!F7+'IV кв. 2009 г.'!F6</f>
        <v>3</v>
      </c>
      <c r="G6" s="107">
        <f t="shared" si="0"/>
        <v>260</v>
      </c>
    </row>
    <row r="7" spans="1:7" ht="16.5" customHeight="1">
      <c r="A7" s="44">
        <v>4</v>
      </c>
      <c r="B7" s="47" t="s">
        <v>9</v>
      </c>
      <c r="C7" s="71">
        <f>'I полугодие 2009'!C9+'III кв. 2009 г.'!C8+'IV кв. 2009 г.'!C7</f>
        <v>3139.9</v>
      </c>
      <c r="D7" s="71">
        <f>'I полугодие 2009'!D9+'III кв. 2009 г.'!D8+'IV кв. 2009 г.'!D7</f>
        <v>89.89999999999998</v>
      </c>
      <c r="E7" s="120">
        <f>'I полугодие 2009'!E9+'III кв. 2009 г.'!E8+'IV кв. 2009 г.'!E7</f>
        <v>440</v>
      </c>
      <c r="F7" s="120">
        <f>'I полугодие 2009'!F9+'III кв. 2009 г.'!F8+'IV кв. 2009 г.'!F7</f>
        <v>574.2</v>
      </c>
      <c r="G7" s="107">
        <f t="shared" si="0"/>
        <v>4244</v>
      </c>
    </row>
    <row r="8" spans="1:7" ht="16.5" customHeight="1">
      <c r="A8" s="137">
        <v>5</v>
      </c>
      <c r="B8" s="74" t="s">
        <v>21</v>
      </c>
      <c r="C8" s="73">
        <f>'I полугодие 2009'!C10+'III кв. 2009 г.'!C9+'IV кв. 2009 г.'!C8</f>
        <v>451</v>
      </c>
      <c r="D8" s="73">
        <f>'I полугодие 2009'!D10+'III кв. 2009 г.'!D9+'IV кв. 2009 г.'!D8</f>
        <v>207</v>
      </c>
      <c r="E8" s="121">
        <f>'I полугодие 2009'!E10+'III кв. 2009 г.'!E9+'IV кв. 2009 г.'!E8</f>
        <v>30</v>
      </c>
      <c r="F8" s="121">
        <f>'I полугодие 2009'!F10+'III кв. 2009 г.'!F9+'IV кв. 2009 г.'!F8</f>
        <v>6</v>
      </c>
      <c r="G8" s="109">
        <f t="shared" si="0"/>
        <v>694</v>
      </c>
    </row>
    <row r="9" spans="1:7" ht="16.5" customHeight="1">
      <c r="A9" s="137">
        <v>6</v>
      </c>
      <c r="B9" s="77" t="s">
        <v>22</v>
      </c>
      <c r="C9" s="73">
        <f>'I полугодие 2009'!C11+'III кв. 2009 г.'!C10+'IV кв. 2009 г.'!C9</f>
        <v>5734.3</v>
      </c>
      <c r="D9" s="73">
        <f>'I полугодие 2009'!D11+'III кв. 2009 г.'!D10+'IV кв. 2009 г.'!D9</f>
        <v>1507.7</v>
      </c>
      <c r="E9" s="121">
        <f>'I полугодие 2009'!E11+'III кв. 2009 г.'!E10+'IV кв. 2009 г.'!E9</f>
        <v>659.6</v>
      </c>
      <c r="F9" s="121">
        <f>'I полугодие 2009'!F11+'III кв. 2009 г.'!F10+'IV кв. 2009 г.'!F9</f>
        <v>1693.4</v>
      </c>
      <c r="G9" s="109">
        <f t="shared" si="0"/>
        <v>9595</v>
      </c>
    </row>
    <row r="10" spans="1:7" ht="16.5" customHeight="1">
      <c r="A10" s="54">
        <v>7</v>
      </c>
      <c r="B10" s="79" t="s">
        <v>39</v>
      </c>
      <c r="C10" s="80">
        <f>'I полугодие 2009'!C12+'III кв. 2009 г.'!C11+'IV кв. 2009 г.'!C10</f>
        <v>248</v>
      </c>
      <c r="D10" s="80">
        <f>'I полугодие 2009'!D12+'III кв. 2009 г.'!D11+'IV кв. 2009 г.'!D10</f>
        <v>93</v>
      </c>
      <c r="E10" s="122">
        <f>'I полугодие 2009'!E12+'III кв. 2009 г.'!E11+'IV кв. 2009 г.'!E10</f>
        <v>18</v>
      </c>
      <c r="F10" s="122">
        <f>'I полугодие 2009'!F12+'III кв. 2009 г.'!F11+'IV кв. 2009 г.'!F10</f>
        <v>1</v>
      </c>
      <c r="G10" s="110">
        <f t="shared" si="0"/>
        <v>360</v>
      </c>
    </row>
    <row r="11" spans="1:11" ht="16.5" customHeight="1">
      <c r="A11" s="138">
        <v>8</v>
      </c>
      <c r="B11" s="83" t="s">
        <v>24</v>
      </c>
      <c r="C11" s="84">
        <f>'I полугодие 2009'!C13+'III кв. 2009 г.'!C13+'IV кв. 2009 г.'!C12</f>
        <v>2380.7999999999997</v>
      </c>
      <c r="D11" s="84">
        <f>'I полугодие 2009'!D13+'III кв. 2009 г.'!D13+'IV кв. 2009 г.'!D12</f>
        <v>703.4000000000001</v>
      </c>
      <c r="E11" s="123">
        <f>'I полугодие 2009'!E13+'III кв. 2009 г.'!E13+'IV кв. 2009 г.'!E12</f>
        <v>264</v>
      </c>
      <c r="F11" s="123">
        <f>'I полугодие 2009'!F13+'III кв. 2009 г.'!F13+'IV кв. 2009 г.'!F12</f>
        <v>150</v>
      </c>
      <c r="G11" s="111">
        <f t="shared" si="0"/>
        <v>3498.2</v>
      </c>
      <c r="K11"/>
    </row>
    <row r="12" spans="1:7" s="56" customFormat="1" ht="16.5" customHeight="1">
      <c r="A12" s="127">
        <v>9</v>
      </c>
      <c r="B12" s="125" t="s">
        <v>42</v>
      </c>
      <c r="C12" s="126"/>
      <c r="D12" s="126"/>
      <c r="E12" s="127"/>
      <c r="F12" s="127"/>
      <c r="G12" s="128">
        <f>'I полугодие 2009'!G14*1.18+'III кв. 2009 г.'!G15+'IV кв. 2009 г.'!G14</f>
        <v>26161.3572</v>
      </c>
    </row>
    <row r="13" spans="1:7" ht="29.25" customHeight="1">
      <c r="A13" s="139">
        <v>10</v>
      </c>
      <c r="B13" s="130" t="s">
        <v>65</v>
      </c>
      <c r="C13" s="131"/>
      <c r="D13" s="131"/>
      <c r="E13" s="131"/>
      <c r="F13" s="131"/>
      <c r="G13" s="132">
        <f>G20+G21</f>
        <v>22840.231399999997</v>
      </c>
    </row>
    <row r="14" spans="1:7" ht="45.75" customHeight="1">
      <c r="A14" s="44">
        <v>11</v>
      </c>
      <c r="B14" s="47" t="s">
        <v>44</v>
      </c>
      <c r="C14" s="48">
        <v>2787</v>
      </c>
      <c r="D14" s="48">
        <v>1279</v>
      </c>
      <c r="E14" s="44">
        <v>185</v>
      </c>
      <c r="F14" s="44">
        <v>2042</v>
      </c>
      <c r="G14" s="49">
        <f>C14+D14+E14+F14</f>
        <v>6293</v>
      </c>
    </row>
    <row r="15" spans="1:7" ht="16.5" customHeight="1">
      <c r="A15" s="44">
        <v>12</v>
      </c>
      <c r="B15" s="47" t="s">
        <v>66</v>
      </c>
      <c r="C15" s="48">
        <v>1506</v>
      </c>
      <c r="D15" s="48">
        <v>565</v>
      </c>
      <c r="E15" s="44">
        <v>109</v>
      </c>
      <c r="F15" s="44">
        <v>6</v>
      </c>
      <c r="G15" s="49">
        <f>C15+D15+E15+F15</f>
        <v>2186</v>
      </c>
    </row>
    <row r="16" spans="1:7" ht="15.75" hidden="1">
      <c r="A16" s="140">
        <v>13</v>
      </c>
      <c r="B16" s="94"/>
      <c r="C16" s="48"/>
      <c r="D16" s="48"/>
      <c r="E16" s="48"/>
      <c r="F16" s="48"/>
      <c r="G16" s="49"/>
    </row>
    <row r="17" spans="1:7" ht="15.75" hidden="1">
      <c r="A17" s="140">
        <v>14</v>
      </c>
      <c r="B17" s="94"/>
      <c r="C17" s="48"/>
      <c r="D17" s="48"/>
      <c r="E17" s="48"/>
      <c r="F17" s="48"/>
      <c r="G17" s="49"/>
    </row>
    <row r="18" spans="1:7" ht="15.75" hidden="1">
      <c r="A18" s="140">
        <v>15</v>
      </c>
      <c r="B18" s="94"/>
      <c r="C18" s="48"/>
      <c r="D18" s="48"/>
      <c r="E18" s="48"/>
      <c r="F18" s="48"/>
      <c r="G18" s="49"/>
    </row>
    <row r="19" spans="1:7" ht="45.75" customHeight="1">
      <c r="A19" s="44">
        <v>13</v>
      </c>
      <c r="B19" s="94" t="s">
        <v>46</v>
      </c>
      <c r="C19" s="48">
        <v>1813</v>
      </c>
      <c r="D19" s="48">
        <v>680</v>
      </c>
      <c r="E19" s="44">
        <v>132</v>
      </c>
      <c r="F19" s="44">
        <v>7</v>
      </c>
      <c r="G19" s="49">
        <f>C19+D19+E19+F19</f>
        <v>2632</v>
      </c>
    </row>
    <row r="20" spans="1:7" ht="30.75" customHeight="1">
      <c r="A20" s="54">
        <v>14</v>
      </c>
      <c r="B20" s="30" t="s">
        <v>59</v>
      </c>
      <c r="C20" s="141">
        <f>C14+C15+C19</f>
        <v>6106</v>
      </c>
      <c r="D20" s="141">
        <f>D14+D15+D19</f>
        <v>2524</v>
      </c>
      <c r="E20" s="54">
        <f>E14+E15+E19</f>
        <v>426</v>
      </c>
      <c r="F20" s="54">
        <f>F14+F15+F19</f>
        <v>2055</v>
      </c>
      <c r="G20" s="133">
        <f>C20+D20+E20+F20</f>
        <v>11111</v>
      </c>
    </row>
    <row r="21" spans="1:7" ht="16.5" customHeight="1">
      <c r="A21" s="142">
        <v>15</v>
      </c>
      <c r="B21" s="96" t="s">
        <v>47</v>
      </c>
      <c r="C21" s="97"/>
      <c r="D21" s="97"/>
      <c r="E21" s="97"/>
      <c r="F21" s="97"/>
      <c r="G21" s="98">
        <f>'I полугодие 2009'!G20*1.18+'III кв. 2009 г.'!G24+'IV кв. 2009 г.'!G23</f>
        <v>11729.231399999999</v>
      </c>
    </row>
    <row r="22" spans="2:7" ht="14.25" customHeight="1">
      <c r="B22" s="99"/>
      <c r="C22" s="100"/>
      <c r="D22" s="100"/>
      <c r="E22" s="100"/>
      <c r="F22" s="100"/>
      <c r="G22" s="100"/>
    </row>
    <row r="23" spans="2:7" ht="14.25" customHeight="1">
      <c r="B23" s="99"/>
      <c r="C23" s="100"/>
      <c r="D23" s="100"/>
      <c r="E23" s="100"/>
      <c r="F23" s="100"/>
      <c r="G23" s="100"/>
    </row>
    <row r="24" spans="2:6" ht="15.75">
      <c r="B24" s="101"/>
      <c r="F24" s="102"/>
    </row>
    <row r="26" spans="2:7" ht="15.75">
      <c r="B26" s="103"/>
      <c r="C26" s="104"/>
      <c r="D26" s="104"/>
      <c r="E26" s="11"/>
      <c r="F26" s="11"/>
      <c r="G26"/>
    </row>
    <row r="27" spans="2:6" ht="15.75">
      <c r="B27" s="103"/>
      <c r="C27" s="104"/>
      <c r="D27" s="104"/>
      <c r="E27" s="11"/>
      <c r="F27" s="11"/>
    </row>
    <row r="28" spans="2:7" ht="15.75">
      <c r="B28" s="106"/>
      <c r="C28" s="105"/>
      <c r="D28" s="105"/>
      <c r="E28" s="105"/>
      <c r="F28" s="135"/>
      <c r="G28" s="105"/>
    </row>
    <row r="29" spans="2:7" ht="15">
      <c r="B29" s="161"/>
      <c r="C29" s="161"/>
      <c r="D29" s="161"/>
      <c r="E29" s="161"/>
      <c r="F29" s="161"/>
      <c r="G29" s="161"/>
    </row>
    <row r="30" spans="2:7" ht="15">
      <c r="B30" s="161"/>
      <c r="C30" s="161"/>
      <c r="D30" s="161"/>
      <c r="E30" s="161"/>
      <c r="F30" s="161"/>
      <c r="G30" s="161"/>
    </row>
    <row r="31" spans="2:7" ht="15">
      <c r="B31" s="161"/>
      <c r="C31" s="161"/>
      <c r="D31" s="161"/>
      <c r="E31" s="161"/>
      <c r="F31" s="161"/>
      <c r="G31" s="161"/>
    </row>
    <row r="32" spans="2:7" ht="15.75">
      <c r="B32" s="161"/>
      <c r="C32" s="106"/>
      <c r="D32" s="106"/>
      <c r="E32" s="106"/>
      <c r="F32" s="106"/>
      <c r="G32" s="106"/>
    </row>
    <row r="33" spans="2:7" ht="15">
      <c r="B33" s="162"/>
      <c r="C33" s="161"/>
      <c r="D33" s="161"/>
      <c r="E33" s="161"/>
      <c r="F33" s="161"/>
      <c r="G33" s="161"/>
    </row>
    <row r="34" spans="2:7" ht="15">
      <c r="B34" s="162"/>
      <c r="C34" s="161"/>
      <c r="D34" s="161"/>
      <c r="E34" s="161"/>
      <c r="F34" s="161"/>
      <c r="G34" s="161"/>
    </row>
    <row r="35" spans="2:7" ht="15">
      <c r="B35" s="105"/>
      <c r="C35" s="105"/>
      <c r="D35" s="105"/>
      <c r="E35" s="105"/>
      <c r="F35" s="105"/>
      <c r="G35" s="105"/>
    </row>
  </sheetData>
  <sheetProtection selectLockedCells="1" selectUnlockedCells="1"/>
  <mergeCells count="14">
    <mergeCell ref="B29:B32"/>
    <mergeCell ref="C29:C31"/>
    <mergeCell ref="D29:E31"/>
    <mergeCell ref="F29:G31"/>
    <mergeCell ref="B33:B34"/>
    <mergeCell ref="C33:C34"/>
    <mergeCell ref="D33:E34"/>
    <mergeCell ref="F33:G34"/>
    <mergeCell ref="B1:G1"/>
    <mergeCell ref="A2:A3"/>
    <mergeCell ref="B2:B3"/>
    <mergeCell ref="C2:C3"/>
    <mergeCell ref="D2:F2"/>
    <mergeCell ref="G2:G3"/>
  </mergeCells>
  <printOptions/>
  <pageMargins left="0.27569444444444446" right="0.27569444444444446" top="0.19652777777777777" bottom="0.0784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Седых Д.В.</cp:lastModifiedBy>
  <dcterms:modified xsi:type="dcterms:W3CDTF">2010-02-05T03:45:18Z</dcterms:modified>
  <cp:category/>
  <cp:version/>
  <cp:contentType/>
  <cp:contentStatus/>
</cp:coreProperties>
</file>